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909" activeTab="11"/>
  </bookViews>
  <sheets>
    <sheet name="Balans " sheetId="1" r:id="rId1"/>
    <sheet name="balans" sheetId="2" state="hidden" r:id="rId2"/>
    <sheet name="OPR " sheetId="3" r:id="rId3"/>
    <sheet name="OPR" sheetId="4" state="hidden" r:id="rId4"/>
    <sheet name="pass_zou" sheetId="5" state="hidden" r:id="rId5"/>
    <sheet name="prihodi" sheetId="6" state="hidden" r:id="rId6"/>
    <sheet name="G i E" sheetId="7" state="hidden" r:id="rId7"/>
    <sheet name="I Taxi" sheetId="8" state="hidden" r:id="rId8"/>
    <sheet name="remont" sheetId="9" state="hidden" r:id="rId9"/>
    <sheet name="parichen_potok " sheetId="10" r:id="rId10"/>
    <sheet name="parichen_potok" sheetId="11" state="hidden" r:id="rId11"/>
    <sheet name="KPI 2007-2022" sheetId="12" r:id="rId12"/>
    <sheet name="KPI" sheetId="13" state="hidden" r:id="rId13"/>
    <sheet name="vag +lok" sheetId="14" state="hidden" r:id="rId14"/>
    <sheet name="graf" sheetId="15" state="hidden" r:id="rId15"/>
    <sheet name="zaplati" sheetId="16" state="hidden" r:id="rId16"/>
  </sheets>
  <externalReferences>
    <externalReference r:id="rId19"/>
  </externalReferences>
  <definedNames>
    <definedName name="_xlnm.Print_Titles" localSheetId="3">'OPR'!$A:$A</definedName>
    <definedName name="_xlnm.Print_Titles" localSheetId="5">'prihodi'!$4:$6</definedName>
    <definedName name="а17">#REF!</definedName>
    <definedName name="а8">#REF!</definedName>
    <definedName name="Ъ27">'OPR'!#REF!</definedName>
  </definedNames>
  <calcPr fullCalcOnLoad="1"/>
</workbook>
</file>

<file path=xl/comments11.xml><?xml version="1.0" encoding="utf-8"?>
<comments xmlns="http://schemas.openxmlformats.org/spreadsheetml/2006/main">
  <authors>
    <author>E.Stoyanova</author>
  </authors>
  <commentList>
    <comment ref="D95" authorId="0">
      <text>
        <r>
          <rPr>
            <b/>
            <sz val="8"/>
            <rFont val="Tahoma"/>
            <family val="2"/>
          </rPr>
          <t>E.Stoyanova:</t>
        </r>
        <r>
          <rPr>
            <sz val="8"/>
            <rFont val="Tahoma"/>
            <family val="2"/>
          </rPr>
          <t xml:space="preserve">
инвестиции за локомотиви части ДМВ и ПОВ 07</t>
        </r>
      </text>
    </comment>
  </commentList>
</comments>
</file>

<file path=xl/comments14.xml><?xml version="1.0" encoding="utf-8"?>
<comments xmlns="http://schemas.openxmlformats.org/spreadsheetml/2006/main">
  <authors>
    <author>E.Stoyanova</author>
  </authors>
  <commentList>
    <comment ref="B23" authorId="0">
      <text>
        <r>
          <rPr>
            <b/>
            <sz val="8"/>
            <rFont val="Tahoma"/>
            <family val="2"/>
          </rPr>
          <t>E.Stoyanova:</t>
        </r>
        <r>
          <rPr>
            <sz val="8"/>
            <rFont val="Tahoma"/>
            <family val="2"/>
          </rPr>
          <t xml:space="preserve">
включени в продажба на движимо имущество
</t>
        </r>
      </text>
    </comment>
    <comment ref="B29" authorId="0">
      <text>
        <r>
          <rPr>
            <b/>
            <sz val="8"/>
            <rFont val="Tahoma"/>
            <family val="2"/>
          </rPr>
          <t>E.Stoyanova:</t>
        </r>
        <r>
          <rPr>
            <sz val="8"/>
            <rFont val="Tahoma"/>
            <family val="2"/>
          </rPr>
          <t xml:space="preserve">
включени в продажба на недвижимо имущество</t>
        </r>
      </text>
    </comment>
  </commentList>
</comments>
</file>

<file path=xl/comments2.xml><?xml version="1.0" encoding="utf-8"?>
<comments xmlns="http://schemas.openxmlformats.org/spreadsheetml/2006/main">
  <authors>
    <author>E.Stoyanova</author>
  </authors>
  <commentList>
    <comment ref="I31" authorId="0">
      <text>
        <r>
          <rPr>
            <b/>
            <sz val="8"/>
            <rFont val="Tahoma"/>
            <family val="2"/>
          </rPr>
          <t>E.Stoyanova:</t>
        </r>
        <r>
          <rPr>
            <sz val="8"/>
            <rFont val="Tahoma"/>
            <family val="2"/>
          </rPr>
          <t xml:space="preserve">
новирани задължения в заем дългосрочен</t>
        </r>
      </text>
    </comment>
  </commentList>
</comments>
</file>

<file path=xl/comments4.xml><?xml version="1.0" encoding="utf-8"?>
<comments xmlns="http://schemas.openxmlformats.org/spreadsheetml/2006/main">
  <authors>
    <author>E.Stoyanova</author>
  </authors>
  <commentList>
    <comment ref="K32" authorId="0">
      <text>
        <r>
          <rPr>
            <b/>
            <sz val="8"/>
            <rFont val="Tahoma"/>
            <family val="2"/>
          </rPr>
          <t>E.Stoyanova:</t>
        </r>
        <r>
          <rPr>
            <sz val="8"/>
            <rFont val="Tahoma"/>
            <family val="2"/>
          </rPr>
          <t xml:space="preserve">
ремонт и текущо поддържане чрез възлагане на нови спални вагони</t>
        </r>
      </text>
    </comment>
    <comment ref="P32" authorId="0">
      <text>
        <r>
          <rPr>
            <b/>
            <sz val="8"/>
            <rFont val="Tahoma"/>
            <family val="2"/>
          </rPr>
          <t>E.Stoyanova:</t>
        </r>
        <r>
          <rPr>
            <sz val="8"/>
            <rFont val="Tahoma"/>
            <family val="2"/>
          </rPr>
          <t xml:space="preserve">
ремонт и техн обслужване 
</t>
        </r>
      </text>
    </comment>
  </commentList>
</comments>
</file>

<file path=xl/sharedStrings.xml><?xml version="1.0" encoding="utf-8"?>
<sst xmlns="http://schemas.openxmlformats.org/spreadsheetml/2006/main" count="2120" uniqueCount="647">
  <si>
    <t xml:space="preserve"> превоз на пътници</t>
  </si>
  <si>
    <t xml:space="preserve"> - други услуги между СЛ</t>
  </si>
  <si>
    <t>Проект</t>
  </si>
  <si>
    <t>Отчет</t>
  </si>
  <si>
    <t>общо</t>
  </si>
  <si>
    <t>Нетни приходи от продажби</t>
  </si>
  <si>
    <t>Разходи за основна дейност</t>
  </si>
  <si>
    <t>други разходи</t>
  </si>
  <si>
    <t>Печалба (загуба)</t>
  </si>
  <si>
    <t xml:space="preserve"> - компенсации</t>
  </si>
  <si>
    <t>отчет</t>
  </si>
  <si>
    <t>суми с корективен характер</t>
  </si>
  <si>
    <t>2008 г.</t>
  </si>
  <si>
    <t>Приходи общо</t>
  </si>
  <si>
    <t>заплати</t>
  </si>
  <si>
    <t>социални осигуровки и надбавки</t>
  </si>
  <si>
    <t>EBITDA</t>
  </si>
  <si>
    <t>EBIT</t>
  </si>
  <si>
    <t xml:space="preserve"> от външни клиенти</t>
  </si>
  <si>
    <t xml:space="preserve"> на свързани лица</t>
  </si>
  <si>
    <t xml:space="preserve"> на външни клиенти</t>
  </si>
  <si>
    <t xml:space="preserve"> в т.ч. Компенсации</t>
  </si>
  <si>
    <t xml:space="preserve"> от свързани лица</t>
  </si>
  <si>
    <t xml:space="preserve"> от външни доставчици</t>
  </si>
  <si>
    <t xml:space="preserve"> Финансиране по договор за ЗОУ от ДБ</t>
  </si>
  <si>
    <t xml:space="preserve"> Други приходи</t>
  </si>
  <si>
    <t xml:space="preserve"> материали</t>
  </si>
  <si>
    <t xml:space="preserve"> горива</t>
  </si>
  <si>
    <t xml:space="preserve"> топлоенергия</t>
  </si>
  <si>
    <t xml:space="preserve"> ел. енергия</t>
  </si>
  <si>
    <t xml:space="preserve"> външни услуги</t>
  </si>
  <si>
    <t xml:space="preserve"> финансови приходи</t>
  </si>
  <si>
    <t xml:space="preserve"> финансови разходи</t>
  </si>
  <si>
    <t xml:space="preserve"> - такса за ползване на локомотиви</t>
  </si>
  <si>
    <t xml:space="preserve"> - жп карти</t>
  </si>
  <si>
    <t xml:space="preserve"> - ремонт на подвижен състав</t>
  </si>
  <si>
    <t xml:space="preserve"> - услуги</t>
  </si>
  <si>
    <t>показатели</t>
  </si>
  <si>
    <t xml:space="preserve"> - наем тягов и подвижен жп състав</t>
  </si>
  <si>
    <t xml:space="preserve"> - други услуги от НК "ЖИ"</t>
  </si>
  <si>
    <t xml:space="preserve"> - инфраструктурни такси </t>
  </si>
  <si>
    <t>2009 г.</t>
  </si>
  <si>
    <t>"БДЖ - ПЪТНИЧЕСКИ ПРЕВОЗИ" ЕООД</t>
  </si>
  <si>
    <t xml:space="preserve"> - ремонт </t>
  </si>
  <si>
    <t>Счетоводна печалба (загуба)</t>
  </si>
  <si>
    <t xml:space="preserve"> извънредни приходи (разходи)</t>
  </si>
  <si>
    <t xml:space="preserve"> данъци</t>
  </si>
  <si>
    <t xml:space="preserve"> - лихви просрочени плащания (СЛ)</t>
  </si>
  <si>
    <t>(хил. лева)</t>
  </si>
  <si>
    <t>приходи</t>
  </si>
  <si>
    <t xml:space="preserve"> Други приходи (продажба на активи)</t>
  </si>
  <si>
    <t>2011 г.</t>
  </si>
  <si>
    <t>2012 г.</t>
  </si>
  <si>
    <t>2013 г.</t>
  </si>
  <si>
    <t>2014 г.</t>
  </si>
  <si>
    <t xml:space="preserve">П Р О Е К Т </t>
  </si>
  <si>
    <t xml:space="preserve">ЗА ПРИХОДИТЕ ОТ ЕКСПЛОАТАЦИОННА ДЕЙНОСТ </t>
  </si>
  <si>
    <t>№</t>
  </si>
  <si>
    <t>ПОКАЗАТЕЛИ</t>
  </si>
  <si>
    <t>Мярка</t>
  </si>
  <si>
    <t>проект</t>
  </si>
  <si>
    <t>2010  г.</t>
  </si>
  <si>
    <t>изменение</t>
  </si>
  <si>
    <t>%</t>
  </si>
  <si>
    <t>км</t>
  </si>
  <si>
    <t>млн</t>
  </si>
  <si>
    <t>Приходи - нето</t>
  </si>
  <si>
    <t>х лв</t>
  </si>
  <si>
    <t>лв</t>
  </si>
  <si>
    <t>ІІ</t>
  </si>
  <si>
    <t>ПРЕВОЗ НА ПЪТНИЦИ</t>
  </si>
  <si>
    <t>Превоз на пътници</t>
  </si>
  <si>
    <t>х п</t>
  </si>
  <si>
    <t>Средно пропътувано разстояние</t>
  </si>
  <si>
    <t>Пътниккилометри</t>
  </si>
  <si>
    <t>Приходи със застраховка</t>
  </si>
  <si>
    <t>в т.ч.: компенсации</t>
  </si>
  <si>
    <t>компенсации без застраховки</t>
  </si>
  <si>
    <t>- застраховка</t>
  </si>
  <si>
    <t>Приходи - нето без компенсации</t>
  </si>
  <si>
    <t>Нетна приходна  ставка</t>
  </si>
  <si>
    <t>5 а</t>
  </si>
  <si>
    <t>Нетна приходна  ставка без компенсации</t>
  </si>
  <si>
    <t>III</t>
  </si>
  <si>
    <t>ПРЕВОЗ НА КОЛЕТИ И БАГАЖИ</t>
  </si>
  <si>
    <t xml:space="preserve">Приходи </t>
  </si>
  <si>
    <t>А</t>
  </si>
  <si>
    <t>ПРИХОДИ със застраховка</t>
  </si>
  <si>
    <t>Б</t>
  </si>
  <si>
    <t xml:space="preserve">ПРИХОДИ НЕТО </t>
  </si>
  <si>
    <t>В</t>
  </si>
  <si>
    <t>компенсации - нето</t>
  </si>
  <si>
    <t>Г</t>
  </si>
  <si>
    <t>ЗАСТРАХОВКА</t>
  </si>
  <si>
    <t>търговски превози</t>
  </si>
  <si>
    <t>превози, обект на ЗОУ</t>
  </si>
  <si>
    <t>2015 г.</t>
  </si>
  <si>
    <t>2016 г.</t>
  </si>
  <si>
    <t>ТЪРГОВСКИ ПРЕВОЗИ</t>
  </si>
  <si>
    <t>ПРЕВОЗИ ОБЕКТ НА ЗОУ</t>
  </si>
  <si>
    <t>загуба</t>
  </si>
  <si>
    <t>АО финансирания</t>
  </si>
  <si>
    <t>загуба без АО фин.</t>
  </si>
  <si>
    <t>приходи + покр. по Дог</t>
  </si>
  <si>
    <t>печалба</t>
  </si>
  <si>
    <t>субсидии</t>
  </si>
  <si>
    <t>влаккм търговски превози</t>
  </si>
  <si>
    <t>влаккм пътнически превози, обект на ЗОУ</t>
  </si>
  <si>
    <t>разходи на влаккм</t>
  </si>
  <si>
    <t>ремонт лок.</t>
  </si>
  <si>
    <t>рем. ваг.</t>
  </si>
  <si>
    <t>План</t>
  </si>
  <si>
    <t>2017 г.</t>
  </si>
  <si>
    <t>2017</t>
  </si>
  <si>
    <t xml:space="preserve">РАЗЧЕТ ЗА ПРИХОДИТЕ И РАЗХОДИТЕ - ПРОЕКТ  2012 г. - 2023 г. </t>
  </si>
  <si>
    <t>ПРОГНОЗЕН БАЛАНС      -  "БДЖ -  ПЪТНИЧЕСКИ ПРЕВОЗИ" ЕООД</t>
  </si>
  <si>
    <t>хил. лева</t>
  </si>
  <si>
    <t xml:space="preserve"> </t>
  </si>
  <si>
    <t xml:space="preserve"> Отчет</t>
  </si>
  <si>
    <t>Разчет</t>
  </si>
  <si>
    <t>АКТИВ</t>
  </si>
  <si>
    <t>31.12.2011 г.</t>
  </si>
  <si>
    <t>А. Дълготрайни активи</t>
  </si>
  <si>
    <t>ао</t>
  </si>
  <si>
    <t>I. Дълготрайни материални активи</t>
  </si>
  <si>
    <t>ао общо</t>
  </si>
  <si>
    <t>1. Земи ( терени )</t>
  </si>
  <si>
    <t>ао кап тр.</t>
  </si>
  <si>
    <t>2. Сгради и конструкции</t>
  </si>
  <si>
    <t>3. Машини и оборудване</t>
  </si>
  <si>
    <t>кап ремонт</t>
  </si>
  <si>
    <t xml:space="preserve">4. Съоръжения </t>
  </si>
  <si>
    <t>5. Транспортни средства</t>
  </si>
  <si>
    <t>6. Други дълготрайни материални активи</t>
  </si>
  <si>
    <t>7. Разходи за придобиване и ликвидация на ДМА</t>
  </si>
  <si>
    <t>Общо по група I</t>
  </si>
  <si>
    <t>II. Дълготрайни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</si>
  <si>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</si>
  <si>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</si>
  <si>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</si>
  <si>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</si>
  <si>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 xml:space="preserve">Общо по група II </t>
  </si>
  <si>
    <t>III. Дългосрочни финансови активи</t>
  </si>
  <si>
    <t>1. Дялове и участия</t>
  </si>
  <si>
    <t xml:space="preserve">    в т.ч.: в дъщерни предприятия (контр. участие)</t>
  </si>
  <si>
    <t xml:space="preserve">    в т.ч.: в асоциирани предприятия</t>
  </si>
  <si>
    <t xml:space="preserve">   - Значително участие</t>
  </si>
  <si>
    <t xml:space="preserve">   - Малцинствено участие</t>
  </si>
  <si>
    <t>2. Инвестиционни имоти</t>
  </si>
  <si>
    <t>3. Други дългосрочни ценни книжа</t>
  </si>
  <si>
    <t>4. Дългосрочни вземания, в т.ч.:</t>
  </si>
  <si>
    <t xml:space="preserve">     - от свързани предприятия</t>
  </si>
  <si>
    <t xml:space="preserve">     - търговски заеми</t>
  </si>
  <si>
    <t xml:space="preserve">     - други дългосрочни вземания</t>
  </si>
  <si>
    <t>Общо по група III.</t>
  </si>
  <si>
    <t>ІV. Търговска репутация</t>
  </si>
  <si>
    <t>1. Положителна репутация</t>
  </si>
  <si>
    <t>2. Отрицателна репутация</t>
  </si>
  <si>
    <t>Общо по група IV.</t>
  </si>
  <si>
    <t>V. Разходи за бъдещи периоди</t>
  </si>
  <si>
    <t>Общо по група V.</t>
  </si>
  <si>
    <t>Oбщо по раздел А (I+II+III+ІV+V)</t>
  </si>
  <si>
    <t>Б. Краткотрайни активи</t>
  </si>
  <si>
    <t>I. Краткотрайни материални запаси</t>
  </si>
  <si>
    <t>1. Материали</t>
  </si>
  <si>
    <t>2. Продукция</t>
  </si>
  <si>
    <t>3. Стоки</t>
  </si>
  <si>
    <t>4. Незавършено производство</t>
  </si>
  <si>
    <t>5. Други материални запаси</t>
  </si>
  <si>
    <t>Общо по група I.</t>
  </si>
  <si>
    <t>II. Краткосрочни вземания</t>
  </si>
  <si>
    <t>1. Вземания от свързани предприятия</t>
  </si>
  <si>
    <t>2. Вземания по продажби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</si>
  <si>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</si>
  <si>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</si>
  <si>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</si>
  <si>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</si>
  <si>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Други краткосрочни вземания</t>
  </si>
  <si>
    <t>8. Активи по отсрочени данъци</t>
  </si>
  <si>
    <t>Общо по група II</t>
  </si>
  <si>
    <t>ІІІ. Краткосрочни финансови активи</t>
  </si>
  <si>
    <t>1. В свързани предприятия</t>
  </si>
  <si>
    <t>2. Изкупени собствени дългови ценни книжа</t>
  </si>
  <si>
    <t>3. Краткосрочни ценни книжа</t>
  </si>
  <si>
    <t>4. Други краткосрочни финансови активи</t>
  </si>
  <si>
    <t>Общо по група IIІ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</si>
  <si>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</si>
  <si>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</si>
  <si>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</si>
  <si>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</si>
  <si>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</si>
  <si>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по раздел Б(I+II+III+IV+V)</t>
  </si>
  <si>
    <t>В. АКТИВИ ДЪРЖАНИ ЗА ПРОДАЖБА</t>
  </si>
  <si>
    <t>1. Дълготрайни активи, държани за продажба</t>
  </si>
  <si>
    <t>2. Краткотрайни активи държани за продажба</t>
  </si>
  <si>
    <t>Общо за раздел В</t>
  </si>
  <si>
    <t>СУМА НА АКТИВА (раздели А+Б+В)</t>
  </si>
  <si>
    <t>В. Условни активи</t>
  </si>
  <si>
    <t>ПАСИВ</t>
  </si>
  <si>
    <t>А. Собствен капитал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</si>
  <si>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</si>
  <si>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</si>
  <si>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</si>
  <si>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</si>
  <si>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ІІ. Резерви</t>
  </si>
  <si>
    <t>1. Премия от емисия</t>
  </si>
  <si>
    <t>2. Резерви от последващи оценки на активите и пасивите</t>
  </si>
  <si>
    <t>3. Целеви резерви - други</t>
  </si>
  <si>
    <t>Общо по група ІІ</t>
  </si>
  <si>
    <t>ІІІ. Финансов резултат</t>
  </si>
  <si>
    <t>1. Натрупана печалба (загуба)</t>
  </si>
  <si>
    <t>в т.ч.: неразпределена печалба</t>
  </si>
  <si>
    <t>в т.ч.: непокрита загуба</t>
  </si>
  <si>
    <t>2. Текуща печалба (загуба)</t>
  </si>
  <si>
    <t>Общо по група ІІІ</t>
  </si>
  <si>
    <t>Общо по раздел А (I+II+III)</t>
  </si>
  <si>
    <t>Б. Дългосрочни пасиви</t>
  </si>
  <si>
    <t>І. Дългосрочни задължения</t>
  </si>
  <si>
    <t>1. Задължения към свързани предприятия</t>
  </si>
  <si>
    <t>2. Задължения към финансови предприятия</t>
  </si>
  <si>
    <t xml:space="preserve">     в т.ч.: към банки</t>
  </si>
  <si>
    <t xml:space="preserve">3. Задължения по търговски заеми </t>
  </si>
  <si>
    <t>4. Отсрочени данъци</t>
  </si>
  <si>
    <t>5. Други дългосрочни задължения</t>
  </si>
  <si>
    <t xml:space="preserve">    в т.ч.:  по погасителен план към НОИ - главница</t>
  </si>
  <si>
    <t xml:space="preserve">    в т.ч.:  по погасителен план към НОИ - лихва</t>
  </si>
  <si>
    <t xml:space="preserve">    в т.ч.:  Други</t>
  </si>
  <si>
    <t>ІІ. Приходи за бъдещи периоди и финансирания</t>
  </si>
  <si>
    <t>Общо по група IІ</t>
  </si>
  <si>
    <t>Общо по раздел Б (I+II)</t>
  </si>
  <si>
    <t>В. Краткосрочни пасиви</t>
  </si>
  <si>
    <t>I. Краткосрочни задължения</t>
  </si>
  <si>
    <t xml:space="preserve"> 1. Задължения към свързани предприятия</t>
  </si>
  <si>
    <t xml:space="preserve"> 2. Задължения към финансови предприятия</t>
  </si>
  <si>
    <t xml:space="preserve"> 3. Задължения по търговски заеми</t>
  </si>
  <si>
    <t xml:space="preserve"> 4. Задължения към доставчици</t>
  </si>
  <si>
    <t xml:space="preserve"> 5. Получени аванси</t>
  </si>
  <si>
    <t xml:space="preserve"> 6. Данъчни задължения</t>
  </si>
  <si>
    <t xml:space="preserve"> 7. Задължения към персонала</t>
  </si>
  <si>
    <t xml:space="preserve"> 8. Задължения към осигурителни предприятия</t>
  </si>
  <si>
    <t xml:space="preserve"> 9. Други краткосрочни задължения</t>
  </si>
  <si>
    <t>10. Провизии</t>
  </si>
  <si>
    <t>11. Пасиви по отсрочени данъци</t>
  </si>
  <si>
    <t xml:space="preserve"> 1. Приходи за бъдещи периоди</t>
  </si>
  <si>
    <t xml:space="preserve"> 2. Финансирания</t>
  </si>
  <si>
    <t xml:space="preserve">     в т.ч.: за дълготрайни активи</t>
  </si>
  <si>
    <t xml:space="preserve">     в т.ч.: за текуща дейност</t>
  </si>
  <si>
    <t xml:space="preserve"> 3. Други</t>
  </si>
  <si>
    <t>Общо за група ІІ</t>
  </si>
  <si>
    <t>Общо по раздел В (І+ІІ)</t>
  </si>
  <si>
    <t>СУМА НА ПАСИВА (А+Б+В)</t>
  </si>
  <si>
    <t>Г. Условни пасиви</t>
  </si>
  <si>
    <t>амортизации</t>
  </si>
  <si>
    <t xml:space="preserve"> Други приходи с еднократен характер</t>
  </si>
  <si>
    <t>Очакван</t>
  </si>
  <si>
    <t>2013  г.</t>
  </si>
  <si>
    <t>РАЗЧЕТ</t>
  </si>
  <si>
    <t>на разходите за "ЕНЕРГИЯ" на  ПЪТНИЧЕСКИ ПРЕВОЗИ ОБЕКТ НА ЗОУ</t>
  </si>
  <si>
    <t xml:space="preserve">Оперативен </t>
  </si>
  <si>
    <t>П О К А З АТ Е Л И</t>
  </si>
  <si>
    <t xml:space="preserve"> + -</t>
  </si>
  <si>
    <t xml:space="preserve">  %</t>
  </si>
  <si>
    <t>Обем работа</t>
  </si>
  <si>
    <t>а) електрическа тяга</t>
  </si>
  <si>
    <t>млн бр.ткм</t>
  </si>
  <si>
    <t>-от локомотиви</t>
  </si>
  <si>
    <t>-от ЕМВ</t>
  </si>
  <si>
    <t>б) ел. маневра</t>
  </si>
  <si>
    <t xml:space="preserve">   х манч</t>
  </si>
  <si>
    <t>Разходна норма</t>
  </si>
  <si>
    <t>втч.</t>
  </si>
  <si>
    <t xml:space="preserve">  квтч.</t>
  </si>
  <si>
    <t>Количество ел. енергия</t>
  </si>
  <si>
    <t xml:space="preserve">  хил.квтч</t>
  </si>
  <si>
    <t>Цена на ел. енергия</t>
  </si>
  <si>
    <t>ст/квтч</t>
  </si>
  <si>
    <t>Разходи за ел. енергия</t>
  </si>
  <si>
    <t>Други разходи за ел. енергия</t>
  </si>
  <si>
    <t>а) за други нужди</t>
  </si>
  <si>
    <t>б) за топлоенергия</t>
  </si>
  <si>
    <t>Цена за енергоразпределение</t>
  </si>
  <si>
    <t>лв/Мвтч</t>
  </si>
  <si>
    <t>Разходи за енергоразпределение</t>
  </si>
  <si>
    <t>Общо разходи за  енергия</t>
  </si>
  <si>
    <t>ЕЛ.ЕНЕРГИЯ</t>
  </si>
  <si>
    <t>ТОПЛОЕНЕРГИЯ</t>
  </si>
  <si>
    <t>на разходите за "ГОРИВО" на  ПЪТНИЧЕСКИ ПРЕВОЗИ ОБЕКТ НА ЗОУ</t>
  </si>
  <si>
    <t>1.Обем работа</t>
  </si>
  <si>
    <t>а/ дизелова тяга</t>
  </si>
  <si>
    <t>хил.брткм</t>
  </si>
  <si>
    <t xml:space="preserve">  - от локомотиви</t>
  </si>
  <si>
    <t xml:space="preserve">  - ДМВ (серия 10)</t>
  </si>
  <si>
    <t>б/ дизелова маневра</t>
  </si>
  <si>
    <t>ман.ч</t>
  </si>
  <si>
    <t>2. Разходна норма</t>
  </si>
  <si>
    <t>литър</t>
  </si>
  <si>
    <t>3. Количество гориво</t>
  </si>
  <si>
    <t>литри</t>
  </si>
  <si>
    <t xml:space="preserve">в/ локомотиви под наем </t>
  </si>
  <si>
    <t>4. Цена на горивото</t>
  </si>
  <si>
    <t>лева</t>
  </si>
  <si>
    <t>5. Разходи за гориво</t>
  </si>
  <si>
    <t>г/ вагон-отоплители</t>
  </si>
  <si>
    <t>д/ парен локомотив</t>
  </si>
  <si>
    <t>6. Други разходи за гориво</t>
  </si>
  <si>
    <t>О Б Щ О  РАЗХОДИ</t>
  </si>
  <si>
    <t>на разходите за "Инфраструктурни такси" на  ПЪТНИЧЕСКИ ПРЕВОЗИ ОБЕКТ НА ЗОУ</t>
  </si>
  <si>
    <t>Брутотонкилометри</t>
  </si>
  <si>
    <t>Влаккилометри</t>
  </si>
  <si>
    <t xml:space="preserve"> ставка брутоткм</t>
  </si>
  <si>
    <t xml:space="preserve"> ставка влаккм</t>
  </si>
  <si>
    <t>на брутоткм такси</t>
  </si>
  <si>
    <t>на влаккм такси</t>
  </si>
  <si>
    <t>общо инфраструктурни такси</t>
  </si>
  <si>
    <t>неизползван заявен капацитет</t>
  </si>
  <si>
    <t>Прогноза</t>
  </si>
  <si>
    <t>за 2014 -2017 год.</t>
  </si>
  <si>
    <t>за 2014 - 2017год.</t>
  </si>
  <si>
    <t>ЗОУ</t>
  </si>
  <si>
    <t>БДЖ - Пътнически превози - общо</t>
  </si>
  <si>
    <t>общо:</t>
  </si>
  <si>
    <t>приходи от амортизации на други финансирания от ДБ</t>
  </si>
  <si>
    <t>В т.ч.: амортизации на ДМА финансирани от ДБ</t>
  </si>
  <si>
    <t>Вземания по предоставен заем на СЛ</t>
  </si>
  <si>
    <t>спални вагони</t>
  </si>
  <si>
    <t>главници 2013</t>
  </si>
  <si>
    <t>главници - м.V.2014</t>
  </si>
  <si>
    <t>главници - м.VІ.2014</t>
  </si>
  <si>
    <t>главници - м.Х.2014</t>
  </si>
  <si>
    <t>други амортизации КТ</t>
  </si>
  <si>
    <t>Себестойност на продадените ДМА и КМА</t>
  </si>
  <si>
    <t>брутен приход от продажба на активи по схемата "дълг срещу собственост"</t>
  </si>
  <si>
    <t>себестойност на продадените активи по схемата "дълг срещу собственост"</t>
  </si>
  <si>
    <t>2010-2012</t>
  </si>
  <si>
    <t>сума за приспадане</t>
  </si>
  <si>
    <t>НА  "БДЖ - Пътнически превози" ЕООД ЗА 2014 г. - 2017 г.</t>
  </si>
  <si>
    <t xml:space="preserve">други разходи </t>
  </si>
  <si>
    <t>2018 г.</t>
  </si>
  <si>
    <t>2019 г.</t>
  </si>
  <si>
    <t>2020 г.</t>
  </si>
  <si>
    <t>2021 г.</t>
  </si>
  <si>
    <t>2022 г.</t>
  </si>
  <si>
    <t xml:space="preserve">РАЗЧЕТ ЗА ПРИХОДИТЕ И РАЗХОДИТЕ - ПРОЕКТ 2015 г. - 2022 г. </t>
  </si>
  <si>
    <t xml:space="preserve">Приложение № </t>
  </si>
  <si>
    <t>2018</t>
  </si>
  <si>
    <t>2019</t>
  </si>
  <si>
    <t>2020</t>
  </si>
  <si>
    <t>2021</t>
  </si>
  <si>
    <t>2022</t>
  </si>
  <si>
    <t>капиталов трансфер 2022</t>
  </si>
  <si>
    <t>план</t>
  </si>
  <si>
    <t xml:space="preserve">Прогнозен паричен поток за 2015 г. </t>
  </si>
  <si>
    <t xml:space="preserve"> А. Парични потоци от основна дейност</t>
  </si>
  <si>
    <t xml:space="preserve">постъпления </t>
  </si>
  <si>
    <t xml:space="preserve">Парични средства в началото на периода </t>
  </si>
  <si>
    <t xml:space="preserve"> - от превоз на пътници</t>
  </si>
  <si>
    <t xml:space="preserve"> - други приходи</t>
  </si>
  <si>
    <t xml:space="preserve"> - ДДС за възстановяване</t>
  </si>
  <si>
    <t xml:space="preserve"> - други услуги от СЛ</t>
  </si>
  <si>
    <t>плащания</t>
  </si>
  <si>
    <t xml:space="preserve"> - за персонал</t>
  </si>
  <si>
    <t xml:space="preserve"> - гориво</t>
  </si>
  <si>
    <t xml:space="preserve"> - ел. енергия</t>
  </si>
  <si>
    <t xml:space="preserve"> - материали и резервни части</t>
  </si>
  <si>
    <t xml:space="preserve"> - други разходи</t>
  </si>
  <si>
    <t xml:space="preserve"> - инфраструктурни такси</t>
  </si>
  <si>
    <t xml:space="preserve"> - други услуги от НК "ЖИ" </t>
  </si>
  <si>
    <t xml:space="preserve"> - експертно и административно подпомагане </t>
  </si>
  <si>
    <t xml:space="preserve"> - непредвидени разходи </t>
  </si>
  <si>
    <t xml:space="preserve"> - данък печалба</t>
  </si>
  <si>
    <t xml:space="preserve"> - финансови разходи</t>
  </si>
  <si>
    <t>Нетен паричен поток от основна дейност (А)</t>
  </si>
  <si>
    <t xml:space="preserve"> Б. Парични потоци от инвестиционна дейност</t>
  </si>
  <si>
    <t xml:space="preserve"> - продажби на активи</t>
  </si>
  <si>
    <t xml:space="preserve"> - инвестиции </t>
  </si>
  <si>
    <t xml:space="preserve"> - ремонт на пътнически вагони</t>
  </si>
  <si>
    <t xml:space="preserve"> - ремонт на локомотиви</t>
  </si>
  <si>
    <t xml:space="preserve"> - ремонт на железен път и съоръжения</t>
  </si>
  <si>
    <t xml:space="preserve"> - ремонт на сгради и ново строителство</t>
  </si>
  <si>
    <t>Нетен паричен поток от инвест. дейност (Б)</t>
  </si>
  <si>
    <t>В. Парични потоци от финансова дейност</t>
  </si>
  <si>
    <t xml:space="preserve"> - заем ТП</t>
  </si>
  <si>
    <t xml:space="preserve"> - лихви по заеми БДЖ ПП (СЛ)</t>
  </si>
  <si>
    <t xml:space="preserve"> - главници по просрочени заеми БДЖ ПП (СЛ)</t>
  </si>
  <si>
    <t xml:space="preserve"> - главници по просрочени заеми СЛ</t>
  </si>
  <si>
    <t>Нетен паричен поток от финансова дейност (В)</t>
  </si>
  <si>
    <t>Изменение през периода (А+Б+В)</t>
  </si>
  <si>
    <t xml:space="preserve">Финансирания </t>
  </si>
  <si>
    <t xml:space="preserve"> - компенсации за пътнически превози (субсидии) </t>
  </si>
  <si>
    <t xml:space="preserve"> - капиталови трансфери от ДБ </t>
  </si>
  <si>
    <t>Изменение след финансирания</t>
  </si>
  <si>
    <t xml:space="preserve"> - минимален оперативен резерв</t>
  </si>
  <si>
    <t xml:space="preserve">Парични средства в края на периода </t>
  </si>
  <si>
    <t>Изготвил:</t>
  </si>
  <si>
    <t>Е. Стоянова</t>
  </si>
  <si>
    <t>Ръководител отдел "Планиране и анализ на финансовите резултати"</t>
  </si>
  <si>
    <t xml:space="preserve">Инвестиции </t>
  </si>
  <si>
    <t>Справка</t>
  </si>
  <si>
    <t>за разходи за инвестиции, ремонт и текущо поддържане</t>
  </si>
  <si>
    <t>в заводи</t>
  </si>
  <si>
    <t>в депа</t>
  </si>
  <si>
    <t>І.</t>
  </si>
  <si>
    <t>Пътнически вагони</t>
  </si>
  <si>
    <t>Капитализиран ремонт</t>
  </si>
  <si>
    <t xml:space="preserve">      - брой вагони </t>
  </si>
  <si>
    <t>брой</t>
  </si>
  <si>
    <t xml:space="preserve">      - стойност</t>
  </si>
  <si>
    <t xml:space="preserve">      - стойност </t>
  </si>
  <si>
    <t>Текущо поддържане</t>
  </si>
  <si>
    <t>деповски ремонт</t>
  </si>
  <si>
    <t>текущ отцепъчен ремонт</t>
  </si>
  <si>
    <t>ІІ.</t>
  </si>
  <si>
    <t>Локомотиви</t>
  </si>
  <si>
    <t xml:space="preserve">среден ремонт </t>
  </si>
  <si>
    <t xml:space="preserve">      - брой локомотиви</t>
  </si>
  <si>
    <t xml:space="preserve">подемен ремонт </t>
  </si>
  <si>
    <t xml:space="preserve"> голям периодичен ремонт</t>
  </si>
  <si>
    <t xml:space="preserve"> текущо поддържане (ТП и МПР)</t>
  </si>
  <si>
    <t>капитализирани разходи за ремонт</t>
  </si>
  <si>
    <t>разходи за текущо поддържане</t>
  </si>
  <si>
    <t>среден ремонт в депа</t>
  </si>
  <si>
    <t>среден ремонт  в депа</t>
  </si>
  <si>
    <t xml:space="preserve">капитален ремонт </t>
  </si>
  <si>
    <t>2023</t>
  </si>
  <si>
    <t>2024</t>
  </si>
  <si>
    <t>2025</t>
  </si>
  <si>
    <t>отчетна стойност ДМВ</t>
  </si>
  <si>
    <t>отчетна стойност ЕМВ</t>
  </si>
  <si>
    <t>след преоценка</t>
  </si>
  <si>
    <t>х. лв</t>
  </si>
  <si>
    <t>капиталови трансфери</t>
  </si>
  <si>
    <t>аванс за доставка на ЕМВ</t>
  </si>
  <si>
    <t>доставка на ЕМВ</t>
  </si>
  <si>
    <t>амортизация на нови ЕМВ</t>
  </si>
  <si>
    <t>доставка на шинобуси</t>
  </si>
  <si>
    <t>амортизация на шинобуси</t>
  </si>
  <si>
    <t>капиталов трансфер за шинобуси</t>
  </si>
  <si>
    <t>амортизация</t>
  </si>
  <si>
    <t xml:space="preserve"> на капиталов трансфер</t>
  </si>
  <si>
    <t xml:space="preserve"> Брутни приходи от продажба на ДМА и КМА</t>
  </si>
  <si>
    <t>"БДЖ - Пътнически превози" ЕООД</t>
  </si>
  <si>
    <t xml:space="preserve">ОСНОВНИ ФИНАНСОВИ И ОБЕМНИ ПОКАЗАТЕЛИ </t>
  </si>
  <si>
    <t>в хил. лева</t>
  </si>
  <si>
    <t>Финансови показатели</t>
  </si>
  <si>
    <t>Приходи - Общо</t>
  </si>
  <si>
    <t>в т. ч. Приходи от продажби</t>
  </si>
  <si>
    <t xml:space="preserve">  Компенсации по договор за ЗОУ </t>
  </si>
  <si>
    <t>Оперативни разходи</t>
  </si>
  <si>
    <t xml:space="preserve">EBITDA </t>
  </si>
  <si>
    <t>Приходи от амортизиране на други финансирания от ДБ</t>
  </si>
  <si>
    <t>Разходи за амортизации</t>
  </si>
  <si>
    <t xml:space="preserve">в т,ч.: Амортизации на кап.трансфер от ДБ </t>
  </si>
  <si>
    <t xml:space="preserve">EBIT </t>
  </si>
  <si>
    <t>Печалба/Загуба от продажба на ДМА и КМА</t>
  </si>
  <si>
    <t>Брутни приходи от продажби на ДМА и КМА</t>
  </si>
  <si>
    <t>Себестойност на продадени ДМА и КМА</t>
  </si>
  <si>
    <t>Други приходи с еднократен характер (Тювасаш)</t>
  </si>
  <si>
    <t>Финансови разходи</t>
  </si>
  <si>
    <t>Печалба преди данъци</t>
  </si>
  <si>
    <t>Данъци</t>
  </si>
  <si>
    <t>Печалба/Загуба от продажба на активи по схемата "дълг срещу собственост"</t>
  </si>
  <si>
    <t>Брутен приход от продажба на активи по схемата "дълг срещу собственост"</t>
  </si>
  <si>
    <t>Себестойност на продадени активи по схемата "дълг срещу собственост"</t>
  </si>
  <si>
    <t>Нетна печалба</t>
  </si>
  <si>
    <t>Паричен поток (чиста печалба + амортизации)</t>
  </si>
  <si>
    <t>Собствен капитал</t>
  </si>
  <si>
    <t>Нетни активи</t>
  </si>
  <si>
    <t>Активи</t>
  </si>
  <si>
    <t>Задлъжнялост</t>
  </si>
  <si>
    <t>Обемни показатели</t>
  </si>
  <si>
    <t>Средносписъчен брой на персонала (брой)</t>
  </si>
  <si>
    <t xml:space="preserve">Производителност на 1 лице от персонала </t>
  </si>
  <si>
    <t>Превозени пътници, (хил.пътника)</t>
  </si>
  <si>
    <t>Пътниккилометри, (млн.)</t>
  </si>
  <si>
    <t>Рентабилност</t>
  </si>
  <si>
    <t>нетен марж</t>
  </si>
  <si>
    <t>на собствения капитал (EBIT/собствен капитал)</t>
  </si>
  <si>
    <t>на нетните активите (EBIT/нетни активи)</t>
  </si>
  <si>
    <t>обръщаемост на активите (приходи/ДА)</t>
  </si>
  <si>
    <t>обръщаемост на ДМА (приходи/ДМА)</t>
  </si>
  <si>
    <t>дълг/собствен капитал - financial gearing</t>
  </si>
  <si>
    <t>дълг/ активи</t>
  </si>
  <si>
    <t>Ликвидност</t>
  </si>
  <si>
    <t>обща ликвидност</t>
  </si>
  <si>
    <t>бърза ликвидност</t>
  </si>
  <si>
    <t>абсолютна ликвидност</t>
  </si>
  <si>
    <t>нетен постоянен капитал (зает капитал)</t>
  </si>
  <si>
    <t>оборотен капитал</t>
  </si>
  <si>
    <t>коефициент на обща ликвидност</t>
  </si>
  <si>
    <t>коефициент на бърза ликвидност</t>
  </si>
  <si>
    <t>коефициент на абсолютна ликвидност</t>
  </si>
  <si>
    <t>коефициент на финансова автономност</t>
  </si>
  <si>
    <t>коефициент на задлъжнялост (дълг/собствен капитал)</t>
  </si>
  <si>
    <t>коефициент на задлъжнялост (дълг/общи активи)</t>
  </si>
  <si>
    <t xml:space="preserve">обръщаемост на активите </t>
  </si>
  <si>
    <t>обръщаемост на ДМА</t>
  </si>
  <si>
    <t>коефициент на рентабилност на собствения капитал</t>
  </si>
  <si>
    <t>коефициент на рентабилност на активите</t>
  </si>
  <si>
    <t>чиста стойност на активите (нетни активи)</t>
  </si>
  <si>
    <t>Оперативен</t>
  </si>
  <si>
    <t>Опер. Отчет</t>
  </si>
  <si>
    <t>в) стационарни вагонотоплители</t>
  </si>
  <si>
    <t xml:space="preserve"> - други инвестиции</t>
  </si>
  <si>
    <t>доставка нови ЕМВ</t>
  </si>
  <si>
    <t>Предвар.</t>
  </si>
  <si>
    <t>рециклирани вагони</t>
  </si>
  <si>
    <t>Възстановяване на 4 бр. ДМВ 10</t>
  </si>
  <si>
    <t>на локомотиви и вагони за 2015 г. - 2022 г.</t>
  </si>
  <si>
    <t>ПЪТНИЧЕСКИ ВАГОНЕН ПАРК 2015-2022</t>
  </si>
  <si>
    <t>Пътнически вагонен парк</t>
  </si>
  <si>
    <t>Вагони по ГДВ</t>
  </si>
  <si>
    <t>Вагони по ГДВ +20%</t>
  </si>
  <si>
    <t>Вагони в експлоатация</t>
  </si>
  <si>
    <t>Вагони в ремонт</t>
  </si>
  <si>
    <t>Вагони в резерв</t>
  </si>
  <si>
    <t>Вагони за продажба</t>
  </si>
  <si>
    <t>*</t>
  </si>
  <si>
    <t>Ремонт във ВР Депо</t>
  </si>
  <si>
    <t>**</t>
  </si>
  <si>
    <t>Ремонт във ВР Завод</t>
  </si>
  <si>
    <t>***</t>
  </si>
  <si>
    <t>Рециклиране по договор от 2009</t>
  </si>
  <si>
    <t>продажна цена</t>
  </si>
  <si>
    <t>балансова ст-ст</t>
  </si>
  <si>
    <t>локомотиви</t>
  </si>
  <si>
    <t>вагони</t>
  </si>
  <si>
    <t>парк ТПС</t>
  </si>
  <si>
    <t>ел.лок</t>
  </si>
  <si>
    <t>диз.лок.вл.</t>
  </si>
  <si>
    <t>маневрени</t>
  </si>
  <si>
    <t>ЕМВ</t>
  </si>
  <si>
    <t>ДМВ</t>
  </si>
  <si>
    <t>Шинобуси</t>
  </si>
  <si>
    <t>нов ЕМВ</t>
  </si>
  <si>
    <t>за ГДВ</t>
  </si>
  <si>
    <t>в експлоатация</t>
  </si>
  <si>
    <t>в ремонт</t>
  </si>
  <si>
    <t>за продажба</t>
  </si>
  <si>
    <t>Машини за издаване на билети 100 бр.</t>
  </si>
  <si>
    <t>продажба недвижимо имущество</t>
  </si>
  <si>
    <t>продажба движимо имущество + скраб</t>
  </si>
  <si>
    <t>НА "БДЖ - ПЪТНИЧЕСКИ ПРЕВОЗИ"  ЕООД  ЗА ПЕРИОДА 2015 - 2022 г.</t>
  </si>
  <si>
    <t>инвестиции</t>
  </si>
  <si>
    <t>ремонт локомотиви</t>
  </si>
  <si>
    <t>ремонт вагони</t>
  </si>
  <si>
    <t>други инвестиции</t>
  </si>
  <si>
    <t>Приходи</t>
  </si>
  <si>
    <t>2007 г.</t>
  </si>
  <si>
    <t>2010 г.</t>
  </si>
  <si>
    <t>Баланс</t>
  </si>
  <si>
    <t>година</t>
  </si>
  <si>
    <t>Амортизационни отчисления ДМА</t>
  </si>
  <si>
    <t>Нови спални вагони</t>
  </si>
  <si>
    <t>други ДМА</t>
  </si>
  <si>
    <t>общо амортизации</t>
  </si>
  <si>
    <t xml:space="preserve">главници КТ м.ІІ ДМВ 2015г. - 2,546 млн. лв </t>
  </si>
  <si>
    <t>главници КТ м.ІІ ЕМВ 2015г. - 2,546 млн. лв</t>
  </si>
  <si>
    <t>главници КТ м.VІ ЕМВ 2015г. - 12,454 млн. лв</t>
  </si>
  <si>
    <t>главници КТ м.ХІІ ЕМВ 2015г. - 12,454 млн. лв</t>
  </si>
  <si>
    <t>нова стойност</t>
  </si>
  <si>
    <t xml:space="preserve"> ДМВ</t>
  </si>
  <si>
    <t>неизхабена част</t>
  </si>
  <si>
    <t>увеличение на резерв и ДМА</t>
  </si>
  <si>
    <t>В т.ч.: нови ДМА</t>
  </si>
  <si>
    <t>ЕRP система</t>
  </si>
  <si>
    <t xml:space="preserve">Модернизиране и оборудване на депо за поддръжка на нови ЕМВ </t>
  </si>
  <si>
    <t>Ремонт и оборудване на депо Г. Оряховица</t>
  </si>
  <si>
    <t>Коефициенти за</t>
  </si>
  <si>
    <t>Доходност</t>
  </si>
  <si>
    <t>парк локомотиви</t>
  </si>
  <si>
    <t>парк пътнически вагони</t>
  </si>
  <si>
    <t>приходи на 1-ца тягов подвижен състав от общ парк, хил. лева</t>
  </si>
  <si>
    <t>приходи на 1 пътнически вагон от общ парк, хил. лева</t>
  </si>
  <si>
    <t>приходи на 1 лице от персонала, хил. лева</t>
  </si>
  <si>
    <t>земя</t>
  </si>
  <si>
    <t>31.12.2015г.</t>
  </si>
  <si>
    <t>м.І</t>
  </si>
  <si>
    <t>м.ІІ</t>
  </si>
  <si>
    <t>м.ІІІ</t>
  </si>
  <si>
    <t>м.ІV</t>
  </si>
  <si>
    <t>м.V</t>
  </si>
  <si>
    <t>м.VІ</t>
  </si>
  <si>
    <t>м.VІІ</t>
  </si>
  <si>
    <t>м.VІІІ</t>
  </si>
  <si>
    <t>м.ІХ</t>
  </si>
  <si>
    <t>м.Х</t>
  </si>
  <si>
    <t>м.ХІ</t>
  </si>
  <si>
    <t>м.ХІІ</t>
  </si>
  <si>
    <t>"БДЖ пътнически превози" ЕООД</t>
  </si>
  <si>
    <t>Списъчен брой в края на месеца, брой</t>
  </si>
  <si>
    <t>Средно списъчен брой, брой</t>
  </si>
  <si>
    <t>Средна месечна работна заплата, лева</t>
  </si>
  <si>
    <t>Средства за възнаграждения, хил. лева</t>
  </si>
  <si>
    <t>Социални осигуровки и надбавки, хил. лева</t>
  </si>
  <si>
    <t>% социални осигуровки и надбавки</t>
  </si>
  <si>
    <t>свободни парични средства</t>
  </si>
  <si>
    <t xml:space="preserve"> - техническо обслужване на пътнически вагони</t>
  </si>
  <si>
    <t xml:space="preserve"> - гарова маневра</t>
  </si>
  <si>
    <t>12 рециклирани вагона</t>
  </si>
  <si>
    <t>6 рециклирани вагона</t>
  </si>
  <si>
    <t>С отчитане на годишна инфлация от 2 %</t>
  </si>
  <si>
    <t>Хале за почистване и измиване на нови ЕМВ в ОП Надежда</t>
  </si>
  <si>
    <t>Възстановяване на ДМВ</t>
  </si>
  <si>
    <t>Възстановяване на ЕМВ</t>
  </si>
  <si>
    <t>Модернизация на локомотиви серия 44 и 45</t>
  </si>
  <si>
    <t>Закупуване на локомотиви от ХБДЖ</t>
  </si>
  <si>
    <t>Обучение на персонал</t>
  </si>
  <si>
    <t>Доставка и монтаж на GSM-R на 50 бр. ТПС</t>
  </si>
  <si>
    <t>Доставка и монтаж на ERTMS на 10 бр. ТПС</t>
  </si>
  <si>
    <t>Етап 4 на складова програма</t>
  </si>
  <si>
    <t>закупени от ХБДЖ</t>
  </si>
  <si>
    <t>5  парни</t>
  </si>
  <si>
    <t>04 музейна</t>
  </si>
  <si>
    <t>2 мотриси</t>
  </si>
  <si>
    <t xml:space="preserve">Доставка и монтаж на 80 скоростомерни инсталации тип KWR </t>
  </si>
  <si>
    <t xml:space="preserve"> - техническо обслужване на пътнически вагони НК ЖИ</t>
  </si>
  <si>
    <t xml:space="preserve"> - гарова маневра НК ЖИ</t>
  </si>
  <si>
    <t>СР на спални вагони Тювасаш</t>
  </si>
  <si>
    <t>КР на спални вагони Тювасаш</t>
  </si>
  <si>
    <t>Среден и капитален ремонт на спални вагони Тювасаш</t>
  </si>
  <si>
    <t xml:space="preserve">ОПТИМИСТИЧЕН ВАРИАНТ </t>
  </si>
  <si>
    <t xml:space="preserve">  - шинобуси</t>
  </si>
  <si>
    <t xml:space="preserve"> - доставка на нови вагони, ЕМВ, ДМВ и локомотиви</t>
  </si>
  <si>
    <t>Доставка на PDA устройства  за ПИСБ</t>
  </si>
  <si>
    <t xml:space="preserve"> - материали и резервни части СЛ</t>
  </si>
  <si>
    <t xml:space="preserve"> - закупуване на локомотиви и ЕМВ от СЛ </t>
  </si>
  <si>
    <t>Нови ЕМВ и шинобуси</t>
  </si>
  <si>
    <t xml:space="preserve">капиталов трансфер 2016  - 57+6 млн. лв </t>
  </si>
  <si>
    <t xml:space="preserve">капиталов трансфер 2017 - 57+6 млн. лв </t>
  </si>
  <si>
    <t xml:space="preserve">капиталов трансфер 2018 - 57+6 млн. лв </t>
  </si>
  <si>
    <t xml:space="preserve">капиталов трансфер 2019 - 57+6 млн. лв </t>
  </si>
  <si>
    <t xml:space="preserve">капиталов трансфер 2020 - 57+6 млн. лв </t>
  </si>
  <si>
    <t xml:space="preserve">капиталов трансфер 2021 - 57 млн. лв </t>
  </si>
  <si>
    <t xml:space="preserve"> текущо поддържане на 30 нови ЕМВ</t>
  </si>
  <si>
    <t xml:space="preserve">С ДОСТАВКА НА 16 БРОЯ ШИНОБУСА В ПРЕЗ ПЕРИОДА 2019-2020 г.  </t>
  </si>
  <si>
    <t>социални осигуровки и надбавки -  почивно дело СЛ</t>
  </si>
  <si>
    <t xml:space="preserve"> почивно дело СЛ</t>
  </si>
  <si>
    <t>ПРОГНОЗЕН БАЛАНС - "БДЖ - ПЪТНИЧЕСКИ ПРЕВОЗИ" ЕООД</t>
  </si>
  <si>
    <t>Показатели</t>
  </si>
  <si>
    <t xml:space="preserve">                     (хил. лева)</t>
  </si>
  <si>
    <t xml:space="preserve">  (хил. лева)</t>
  </si>
  <si>
    <t xml:space="preserve">                    ОПТИМИСТИЧЕН ВАРИАНТ </t>
  </si>
  <si>
    <t xml:space="preserve">                                                                                            </t>
  </si>
  <si>
    <t xml:space="preserve">                               ОПТИМИСТИЧЕН ВАРИАНТ </t>
  </si>
  <si>
    <t>Прогнозен паричен поток за 2015 г. - 2022 г.</t>
  </si>
  <si>
    <t xml:space="preserve">              ОПТИМИСТИЧЕН ВАРИАНТ </t>
  </si>
  <si>
    <t>НА "БДЖ - ПЪТНИЧЕСКИ ПРЕВОЗИ" ЕООД ЗА ПЕРИОДА 2015 - 2022 г.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</si>
</sst>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000"/>
    <numFmt numFmtId="185" formatCode="0.00000"/>
    <numFmt numFmtId="186" formatCode="0.0000"/>
    <numFmt numFmtId="187" formatCode="_(* #,##0.00000_);_(* \(#,##0.00000\);_(* &quot;-&quot;??_);_(@_)"/>
    <numFmt numFmtId="188" formatCode="0.0%"/>
    <numFmt numFmtId="189" formatCode="#,##0.0000"/>
    <numFmt numFmtId="190" formatCode="#,##0.00000"/>
    <numFmt numFmtId="191" formatCode="#,##0.000000"/>
    <numFmt numFmtId="192" formatCode="0.000%"/>
    <numFmt numFmtId="193" formatCode="0.000"/>
    <numFmt numFmtId="194" formatCode="_-* #,##0.0\ _л_в_-;\-* #,##0.0\ _л_в_-;_-* &quot;-&quot;?\ _л_в_-;_-@_-"/>
    <numFmt numFmtId="195" formatCode="#,##0.0"/>
    <numFmt numFmtId="196" formatCode="_(* #,##0.000000_);_(* \(#,##0.000000\);_(* &quot;-&quot;??_);_(@_)"/>
    <numFmt numFmtId="197" formatCode="_-* #,##0.00000\ _л_в_-;\-* #,##0.00000\ _л_в_-;_-* &quot;-&quot;?????\ _л_в_-;_-@_-"/>
    <numFmt numFmtId="198" formatCode="0.0"/>
    <numFmt numFmtId="199" formatCode="#,##0.000"/>
    <numFmt numFmtId="200" formatCode="#,##0;\-#,##0;0"/>
    <numFmt numFmtId="201" formatCode="#,##0.0000000"/>
    <numFmt numFmtId="202" formatCode="0.0000000"/>
    <numFmt numFmtId="203" formatCode="_-* #,##0.0\ _л_в_._-;\-* #,##0.0\ _л_в_._-;_-* &quot;-&quot;?\ _л_в_._-;_-@_-"/>
    <numFmt numFmtId="204" formatCode="_-* #,##0.00000\ _л_в_._-;\-* #,##0.00000\ _л_в_._-;_-* &quot;-&quot;?????\ _л_в_.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000000"/>
    <numFmt numFmtId="210" formatCode="_-* #,##0.00\ _л_в_-;\-* #,##0.00\ _л_в_-;_-* &quot;-&quot;?\ _л_в_-;_-@_-"/>
    <numFmt numFmtId="211" formatCode="_(* #,##0.0_);_(* \(#,##0.0\);_(* &quot;-&quot;?_);_(@_)"/>
    <numFmt numFmtId="212" formatCode="_(* #,##0.00000_);_(* \(#,##0.00000\);_(* &quot;-&quot;?????_);_(@_)"/>
    <numFmt numFmtId="213" formatCode="_-* #,##0.000\ _л_в_-;\-* #,##0.000\ _л_в_-;_-* &quot;-&quot;???\ _л_в_-;_-@_-"/>
    <numFmt numFmtId="214" formatCode="_-* #,##0\ _л_в_-;\-* #,##0\ _л_в_-;_-* &quot;-&quot;???\ _л_в_-;_-@_-"/>
    <numFmt numFmtId="215" formatCode="_-* #,##0.00\ [$лв.-402]_-;\-* #,##0.00\ [$лв.-402]_-;_-* &quot;-&quot;??\ [$лв.-402]_-;_-@_-"/>
    <numFmt numFmtId="216" formatCode="0.0000%"/>
    <numFmt numFmtId="217" formatCode="_-* #,##0\ _л_в_._-;\-* #,##0\ _л_в_._-;_-* &quot;-&quot;?\ _л_в_._-;_-@_-"/>
    <numFmt numFmtId="218" formatCode="_-* #,##0.0\ [$лв.-402]_-;\-* #,##0.0\ [$лв.-402]_-;_-* &quot;-&quot;??\ [$лв.-402]_-;_-@_-"/>
    <numFmt numFmtId="219" formatCode="_-* #,##0\ [$лв.-402]_-;\-* #,##0\ [$лв.-402]_-;_-* &quot;-&quot;??\ [$лв.-402]_-;_-@_-"/>
    <numFmt numFmtId="220" formatCode="_-* #,##0.0000\ _л_в_._-;\-* #,##0.0000\ _л_в_._-;_-* &quot;-&quot;?????\ _л_в_._-;_-@_-"/>
    <numFmt numFmtId="221" formatCode="_-* #,##0.000\ _л_в_._-;\-* #,##0.000\ _л_в_._-;_-* &quot;-&quot;?????\ _л_в_._-;_-@_-"/>
    <numFmt numFmtId="222" formatCode="_-* #,##0.00\ _л_в_._-;\-* #,##0.00\ _л_в_._-;_-* &quot;-&quot;?????\ _л_в_._-;_-@_-"/>
    <numFmt numFmtId="223" formatCode="#,##0.00\ &quot;лв.&quot;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4"/>
      <name val="Arial Black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b/>
      <sz val="10"/>
      <color indexed="14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5.95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12"/>
      <name val="Calibri"/>
      <family val="2"/>
    </font>
    <font>
      <b/>
      <sz val="10"/>
      <color indexed="4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Calibri"/>
      <family val="2"/>
    </font>
    <font>
      <b/>
      <sz val="10"/>
      <color rgb="FF0000CC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i/>
      <sz val="10"/>
      <color rgb="FF0000CC"/>
      <name val="Calibri"/>
      <family val="2"/>
    </font>
    <font>
      <b/>
      <sz val="10"/>
      <color rgb="FFFF66FF"/>
      <name val="Calibri"/>
      <family val="2"/>
    </font>
    <font>
      <sz val="10"/>
      <color rgb="FF0000FF"/>
      <name val="Calibri"/>
      <family val="2"/>
    </font>
    <font>
      <b/>
      <sz val="10"/>
      <color rgb="FFFF0000"/>
      <name val="Arial"/>
      <family val="2"/>
    </font>
    <font>
      <sz val="10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/>
      <top>
        <color indexed="63"/>
      </top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9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0" fontId="6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7" fillId="0" borderId="0" xfId="42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42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180" fontId="6" fillId="0" borderId="11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 quotePrefix="1">
      <alignment horizontal="left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4" fontId="6" fillId="0" borderId="0" xfId="0" applyNumberFormat="1" applyFont="1" applyFill="1" applyBorder="1" applyAlignment="1" quotePrefix="1">
      <alignment horizontal="centerContinuous"/>
    </xf>
    <xf numFmtId="199" fontId="6" fillId="0" borderId="11" xfId="0" applyNumberFormat="1" applyFont="1" applyFill="1" applyBorder="1" applyAlignment="1">
      <alignment/>
    </xf>
    <xf numFmtId="199" fontId="6" fillId="0" borderId="12" xfId="0" applyNumberFormat="1" applyFont="1" applyFill="1" applyBorder="1" applyAlignment="1">
      <alignment/>
    </xf>
    <xf numFmtId="9" fontId="6" fillId="0" borderId="12" xfId="75" applyFont="1" applyBorder="1" applyAlignment="1">
      <alignment/>
    </xf>
    <xf numFmtId="0" fontId="6" fillId="0" borderId="11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 indent="2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Continuous"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7" fillId="0" borderId="0" xfId="0" applyNumberFormat="1" applyFont="1" applyFill="1" applyBorder="1" applyAlignment="1" quotePrefix="1">
      <alignment horizontal="centerContinuous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9" fontId="7" fillId="0" borderId="12" xfId="75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Continuous"/>
    </xf>
    <xf numFmtId="3" fontId="9" fillId="0" borderId="1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9" fontId="6" fillId="0" borderId="15" xfId="75" applyFont="1" applyBorder="1" applyAlignment="1">
      <alignment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 quotePrefix="1">
      <alignment horizontal="center"/>
    </xf>
    <xf numFmtId="180" fontId="6" fillId="0" borderId="0" xfId="0" applyNumberFormat="1" applyFont="1" applyAlignment="1">
      <alignment/>
    </xf>
    <xf numFmtId="4" fontId="7" fillId="0" borderId="0" xfId="0" applyNumberFormat="1" applyFont="1" applyFill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0" fontId="7" fillId="0" borderId="11" xfId="42" applyNumberFormat="1" applyFont="1" applyFill="1" applyBorder="1" applyAlignment="1">
      <alignment/>
    </xf>
    <xf numFmtId="180" fontId="7" fillId="0" borderId="12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0" fontId="6" fillId="0" borderId="12" xfId="42" applyNumberFormat="1" applyFont="1" applyFill="1" applyBorder="1" applyAlignment="1">
      <alignment/>
    </xf>
    <xf numFmtId="43" fontId="7" fillId="0" borderId="11" xfId="42" applyNumberFormat="1" applyFont="1" applyFill="1" applyBorder="1" applyAlignment="1">
      <alignment/>
    </xf>
    <xf numFmtId="43" fontId="7" fillId="0" borderId="12" xfId="42" applyNumberFormat="1" applyFont="1" applyFill="1" applyBorder="1" applyAlignment="1">
      <alignment/>
    </xf>
    <xf numFmtId="43" fontId="6" fillId="0" borderId="11" xfId="42" applyNumberFormat="1" applyFont="1" applyFill="1" applyBorder="1" applyAlignment="1">
      <alignment/>
    </xf>
    <xf numFmtId="43" fontId="6" fillId="0" borderId="12" xfId="42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180" fontId="6" fillId="0" borderId="0" xfId="42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Fill="1" applyBorder="1" applyAlignment="1">
      <alignment/>
    </xf>
    <xf numFmtId="1" fontId="7" fillId="0" borderId="14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10" fillId="0" borderId="0" xfId="83" applyNumberFormat="1" applyFont="1" applyBorder="1">
      <alignment/>
      <protection/>
    </xf>
    <xf numFmtId="1" fontId="0" fillId="0" borderId="0" xfId="0" applyNumberFormat="1" applyAlignment="1">
      <alignment/>
    </xf>
    <xf numFmtId="3" fontId="10" fillId="0" borderId="11" xfId="83" applyNumberFormat="1" applyFont="1" applyBorder="1">
      <alignment/>
      <protection/>
    </xf>
    <xf numFmtId="3" fontId="10" fillId="0" borderId="16" xfId="83" applyNumberFormat="1" applyFont="1" applyBorder="1">
      <alignment/>
      <protection/>
    </xf>
    <xf numFmtId="0" fontId="6" fillId="0" borderId="17" xfId="0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99" fontId="7" fillId="0" borderId="11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/>
    </xf>
    <xf numFmtId="3" fontId="11" fillId="33" borderId="19" xfId="0" applyNumberFormat="1" applyFont="1" applyFill="1" applyBorder="1" applyAlignment="1">
      <alignment/>
    </xf>
    <xf numFmtId="3" fontId="16" fillId="33" borderId="19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left" indent="2"/>
    </xf>
    <xf numFmtId="3" fontId="11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left" indent="2"/>
    </xf>
    <xf numFmtId="49" fontId="7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180" fontId="11" fillId="0" borderId="1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left" indent="2"/>
    </xf>
    <xf numFmtId="188" fontId="11" fillId="0" borderId="0" xfId="75" applyNumberFormat="1" applyFont="1" applyFill="1" applyAlignment="1">
      <alignment/>
    </xf>
    <xf numFmtId="189" fontId="11" fillId="0" borderId="0" xfId="0" applyNumberFormat="1" applyFont="1" applyFill="1" applyBorder="1" applyAlignment="1">
      <alignment/>
    </xf>
    <xf numFmtId="9" fontId="11" fillId="0" borderId="0" xfId="75" applyFont="1" applyFill="1" applyAlignment="1">
      <alignment/>
    </xf>
    <xf numFmtId="0" fontId="7" fillId="33" borderId="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189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justify"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6" fillId="33" borderId="20" xfId="0" applyFont="1" applyFill="1" applyBorder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14" fontId="7" fillId="33" borderId="0" xfId="0" applyNumberFormat="1" applyFont="1" applyFill="1" applyBorder="1" applyAlignment="1">
      <alignment horizontal="centerContinuous"/>
    </xf>
    <xf numFmtId="14" fontId="7" fillId="33" borderId="19" xfId="0" applyNumberFormat="1" applyFont="1" applyFill="1" applyBorder="1" applyAlignment="1">
      <alignment horizontal="centerContinuous"/>
    </xf>
    <xf numFmtId="0" fontId="7" fillId="0" borderId="10" xfId="0" applyFont="1" applyFill="1" applyBorder="1" applyAlignment="1" quotePrefix="1">
      <alignment horizontal="left" wrapText="1"/>
    </xf>
    <xf numFmtId="0" fontId="6" fillId="33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180" fontId="6" fillId="33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180" fontId="7" fillId="33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quotePrefix="1">
      <alignment horizontal="left" wrapText="1" indent="1"/>
    </xf>
    <xf numFmtId="0" fontId="6" fillId="0" borderId="0" xfId="0" applyFont="1" applyFill="1" applyBorder="1" applyAlignment="1" quotePrefix="1">
      <alignment horizontal="right" wrapText="1"/>
    </xf>
    <xf numFmtId="180" fontId="7" fillId="33" borderId="0" xfId="42" applyNumberFormat="1" applyFont="1" applyFill="1" applyBorder="1" applyAlignment="1">
      <alignment horizontal="center"/>
    </xf>
    <xf numFmtId="180" fontId="7" fillId="0" borderId="0" xfId="42" applyNumberFormat="1" applyFont="1" applyFill="1" applyBorder="1" applyAlignment="1">
      <alignment horizontal="center"/>
    </xf>
    <xf numFmtId="180" fontId="27" fillId="33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indent="2"/>
    </xf>
    <xf numFmtId="0" fontId="7" fillId="33" borderId="0" xfId="0" applyFont="1" applyFill="1" applyBorder="1" applyAlignment="1">
      <alignment horizontal="left" wrapText="1"/>
    </xf>
    <xf numFmtId="180" fontId="30" fillId="0" borderId="0" xfId="42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left" wrapText="1"/>
    </xf>
    <xf numFmtId="180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 quotePrefix="1">
      <alignment horizontal="right" wrapText="1"/>
    </xf>
    <xf numFmtId="180" fontId="7" fillId="34" borderId="0" xfId="42" applyNumberFormat="1" applyFont="1" applyFill="1" applyBorder="1" applyAlignment="1">
      <alignment/>
    </xf>
    <xf numFmtId="0" fontId="7" fillId="0" borderId="0" xfId="0" applyFont="1" applyBorder="1" applyAlignment="1">
      <alignment horizontal="right" wrapText="1"/>
    </xf>
    <xf numFmtId="0" fontId="7" fillId="34" borderId="0" xfId="0" applyFont="1" applyFill="1" applyBorder="1" applyAlignment="1" quotePrefix="1">
      <alignment horizontal="left" wrapText="1"/>
    </xf>
    <xf numFmtId="0" fontId="6" fillId="0" borderId="19" xfId="0" applyFont="1" applyFill="1" applyBorder="1" applyAlignment="1">
      <alignment wrapText="1"/>
    </xf>
    <xf numFmtId="180" fontId="6" fillId="33" borderId="19" xfId="42" applyNumberFormat="1" applyFont="1" applyFill="1" applyBorder="1" applyAlignment="1">
      <alignment horizontal="center"/>
    </xf>
    <xf numFmtId="180" fontId="6" fillId="0" borderId="19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80" fontId="6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80" fontId="7" fillId="33" borderId="10" xfId="42" applyNumberFormat="1" applyFont="1" applyFill="1" applyBorder="1" applyAlignment="1">
      <alignment/>
    </xf>
    <xf numFmtId="180" fontId="7" fillId="0" borderId="10" xfId="42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justify" wrapText="1"/>
    </xf>
    <xf numFmtId="180" fontId="6" fillId="33" borderId="0" xfId="42" applyNumberFormat="1" applyFont="1" applyFill="1" applyBorder="1" applyAlignment="1">
      <alignment horizontal="center"/>
    </xf>
    <xf numFmtId="180" fontId="6" fillId="0" borderId="0" xfId="42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180" fontId="6" fillId="33" borderId="19" xfId="42" applyNumberFormat="1" applyFont="1" applyFill="1" applyBorder="1" applyAlignment="1">
      <alignment/>
    </xf>
    <xf numFmtId="180" fontId="7" fillId="0" borderId="19" xfId="42" applyNumberFormat="1" applyFont="1" applyFill="1" applyBorder="1" applyAlignment="1">
      <alignment/>
    </xf>
    <xf numFmtId="0" fontId="32" fillId="0" borderId="0" xfId="0" applyFont="1" applyBorder="1" applyAlignment="1">
      <alignment horizontal="left" indent="1"/>
    </xf>
    <xf numFmtId="180" fontId="32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3" fontId="11" fillId="0" borderId="24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Fill="1" applyBorder="1" applyAlignment="1">
      <alignment horizontal="center"/>
    </xf>
    <xf numFmtId="3" fontId="16" fillId="0" borderId="24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Fill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8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80" fontId="27" fillId="0" borderId="0" xfId="42" applyNumberFormat="1" applyFont="1" applyFill="1" applyBorder="1" applyAlignment="1">
      <alignment/>
    </xf>
    <xf numFmtId="0" fontId="19" fillId="0" borderId="0" xfId="82" applyFont="1" applyBorder="1">
      <alignment/>
      <protection/>
    </xf>
    <xf numFmtId="0" fontId="20" fillId="0" borderId="0" xfId="82" applyFont="1">
      <alignment/>
      <protection/>
    </xf>
    <xf numFmtId="0" fontId="21" fillId="0" borderId="0" xfId="82" applyFont="1">
      <alignment/>
      <protection/>
    </xf>
    <xf numFmtId="0" fontId="20" fillId="0" borderId="0" xfId="82" applyFont="1" applyFill="1" applyBorder="1">
      <alignment/>
      <protection/>
    </xf>
    <xf numFmtId="0" fontId="1" fillId="0" borderId="0" xfId="0" applyFont="1" applyAlignment="1">
      <alignment/>
    </xf>
    <xf numFmtId="0" fontId="22" fillId="0" borderId="0" xfId="82" applyFont="1" applyBorder="1">
      <alignment/>
      <protection/>
    </xf>
    <xf numFmtId="0" fontId="23" fillId="0" borderId="0" xfId="82" applyFont="1" applyBorder="1">
      <alignment/>
      <protection/>
    </xf>
    <xf numFmtId="0" fontId="6" fillId="33" borderId="20" xfId="82" applyFont="1" applyFill="1" applyBorder="1">
      <alignment/>
      <protection/>
    </xf>
    <xf numFmtId="0" fontId="18" fillId="33" borderId="10" xfId="82" applyFont="1" applyFill="1" applyBorder="1" applyAlignment="1">
      <alignment horizontal="center"/>
      <protection/>
    </xf>
    <xf numFmtId="0" fontId="7" fillId="33" borderId="24" xfId="82" applyFont="1" applyFill="1" applyBorder="1">
      <alignment/>
      <protection/>
    </xf>
    <xf numFmtId="0" fontId="18" fillId="33" borderId="19" xfId="82" applyFont="1" applyFill="1" applyBorder="1" applyAlignment="1">
      <alignment horizontal="center"/>
      <protection/>
    </xf>
    <xf numFmtId="0" fontId="9" fillId="0" borderId="11" xfId="82" applyFont="1" applyFill="1" applyBorder="1">
      <alignment/>
      <protection/>
    </xf>
    <xf numFmtId="0" fontId="10" fillId="0" borderId="0" xfId="82" applyFont="1" applyFill="1" applyBorder="1" applyAlignment="1">
      <alignment horizontal="center"/>
      <protection/>
    </xf>
    <xf numFmtId="0" fontId="10" fillId="0" borderId="0" xfId="82" applyFont="1" applyBorder="1" applyAlignment="1">
      <alignment horizontal="center"/>
      <protection/>
    </xf>
    <xf numFmtId="0" fontId="20" fillId="0" borderId="10" xfId="82" applyFont="1" applyBorder="1">
      <alignment/>
      <protection/>
    </xf>
    <xf numFmtId="0" fontId="6" fillId="0" borderId="11" xfId="82" applyFont="1" applyBorder="1">
      <alignment/>
      <protection/>
    </xf>
    <xf numFmtId="3" fontId="10" fillId="0" borderId="0" xfId="82" applyNumberFormat="1" applyFont="1" applyBorder="1">
      <alignment/>
      <protection/>
    </xf>
    <xf numFmtId="0" fontId="6" fillId="0" borderId="11" xfId="82" applyFont="1" applyBorder="1" applyAlignment="1">
      <alignment horizontal="left" indent="1"/>
      <protection/>
    </xf>
    <xf numFmtId="3" fontId="10" fillId="0" borderId="0" xfId="82" applyNumberFormat="1" applyFont="1" applyFill="1" applyBorder="1">
      <alignment/>
      <protection/>
    </xf>
    <xf numFmtId="0" fontId="6" fillId="0" borderId="11" xfId="82" applyFont="1" applyBorder="1" applyAlignment="1">
      <alignment horizontal="left" indent="4"/>
      <protection/>
    </xf>
    <xf numFmtId="0" fontId="7" fillId="33" borderId="25" xfId="82" applyFont="1" applyFill="1" applyBorder="1">
      <alignment/>
      <protection/>
    </xf>
    <xf numFmtId="3" fontId="18" fillId="33" borderId="26" xfId="82" applyNumberFormat="1" applyFont="1" applyFill="1" applyBorder="1">
      <alignment/>
      <protection/>
    </xf>
    <xf numFmtId="0" fontId="17" fillId="0" borderId="11" xfId="64" applyFont="1" applyBorder="1">
      <alignment/>
      <protection/>
    </xf>
    <xf numFmtId="3" fontId="24" fillId="0" borderId="0" xfId="82" applyNumberFormat="1" applyFont="1" applyFill="1" applyBorder="1">
      <alignment/>
      <protection/>
    </xf>
    <xf numFmtId="3" fontId="24" fillId="0" borderId="0" xfId="82" applyNumberFormat="1" applyFont="1" applyBorder="1">
      <alignment/>
      <protection/>
    </xf>
    <xf numFmtId="0" fontId="7" fillId="0" borderId="11" xfId="82" applyFont="1" applyBorder="1">
      <alignment/>
      <protection/>
    </xf>
    <xf numFmtId="3" fontId="18" fillId="33" borderId="0" xfId="82" applyNumberFormat="1" applyFont="1" applyFill="1" applyBorder="1">
      <alignment/>
      <protection/>
    </xf>
    <xf numFmtId="0" fontId="8" fillId="0" borderId="11" xfId="82" applyFont="1" applyBorder="1">
      <alignment/>
      <protection/>
    </xf>
    <xf numFmtId="3" fontId="25" fillId="33" borderId="0" xfId="82" applyNumberFormat="1" applyFont="1" applyFill="1" applyBorder="1">
      <alignment/>
      <protection/>
    </xf>
    <xf numFmtId="3" fontId="10" fillId="33" borderId="0" xfId="82" applyNumberFormat="1" applyFont="1" applyFill="1" applyBorder="1">
      <alignment/>
      <protection/>
    </xf>
    <xf numFmtId="3" fontId="18" fillId="0" borderId="0" xfId="82" applyNumberFormat="1" applyFont="1" applyFill="1" applyBorder="1">
      <alignment/>
      <protection/>
    </xf>
    <xf numFmtId="3" fontId="18" fillId="0" borderId="0" xfId="82" applyNumberFormat="1" applyFont="1" applyBorder="1">
      <alignment/>
      <protection/>
    </xf>
    <xf numFmtId="0" fontId="20" fillId="0" borderId="0" xfId="82" applyFont="1" applyBorder="1">
      <alignment/>
      <protection/>
    </xf>
    <xf numFmtId="0" fontId="7" fillId="33" borderId="25" xfId="82" applyFont="1" applyFill="1" applyBorder="1" applyAlignment="1">
      <alignment wrapText="1"/>
      <protection/>
    </xf>
    <xf numFmtId="0" fontId="10" fillId="0" borderId="0" xfId="82" applyFont="1" applyFill="1" applyBorder="1">
      <alignment/>
      <protection/>
    </xf>
    <xf numFmtId="0" fontId="10" fillId="0" borderId="0" xfId="82" applyFont="1" applyBorder="1">
      <alignment/>
      <protection/>
    </xf>
    <xf numFmtId="0" fontId="10" fillId="33" borderId="0" xfId="82" applyFont="1" applyFill="1" applyBorder="1">
      <alignment/>
      <protection/>
    </xf>
    <xf numFmtId="0" fontId="6" fillId="0" borderId="11" xfId="82" applyFont="1" applyBorder="1" applyAlignment="1">
      <alignment horizontal="left"/>
      <protection/>
    </xf>
    <xf numFmtId="0" fontId="9" fillId="33" borderId="25" xfId="82" applyFont="1" applyFill="1" applyBorder="1">
      <alignment/>
      <protection/>
    </xf>
    <xf numFmtId="0" fontId="10" fillId="33" borderId="26" xfId="82" applyFont="1" applyFill="1" applyBorder="1">
      <alignment/>
      <protection/>
    </xf>
    <xf numFmtId="0" fontId="20" fillId="33" borderId="26" xfId="82" applyFont="1" applyFill="1" applyBorder="1">
      <alignment/>
      <protection/>
    </xf>
    <xf numFmtId="0" fontId="6" fillId="0" borderId="20" xfId="82" applyFont="1" applyBorder="1" applyAlignment="1">
      <alignment wrapText="1"/>
      <protection/>
    </xf>
    <xf numFmtId="3" fontId="10" fillId="0" borderId="10" xfId="82" applyNumberFormat="1" applyFont="1" applyBorder="1">
      <alignment/>
      <protection/>
    </xf>
    <xf numFmtId="3" fontId="10" fillId="33" borderId="10" xfId="82" applyNumberFormat="1" applyFont="1" applyFill="1" applyBorder="1">
      <alignment/>
      <protection/>
    </xf>
    <xf numFmtId="0" fontId="6" fillId="0" borderId="11" xfId="82" applyFont="1" applyBorder="1" applyAlignment="1">
      <alignment wrapText="1"/>
      <protection/>
    </xf>
    <xf numFmtId="0" fontId="6" fillId="0" borderId="13" xfId="82" applyFont="1" applyBorder="1">
      <alignment/>
      <protection/>
    </xf>
    <xf numFmtId="3" fontId="10" fillId="0" borderId="14" xfId="82" applyNumberFormat="1" applyFont="1" applyBorder="1">
      <alignment/>
      <protection/>
    </xf>
    <xf numFmtId="3" fontId="10" fillId="33" borderId="14" xfId="82" applyNumberFormat="1" applyFont="1" applyFill="1" applyBorder="1">
      <alignment/>
      <protection/>
    </xf>
    <xf numFmtId="2" fontId="10" fillId="0" borderId="0" xfId="0" applyNumberFormat="1" applyFont="1" applyAlignment="1">
      <alignment/>
    </xf>
    <xf numFmtId="0" fontId="6" fillId="0" borderId="13" xfId="82" applyFont="1" applyBorder="1" applyAlignment="1">
      <alignment wrapText="1"/>
      <protection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8" xfId="0" applyFont="1" applyBorder="1" applyAlignment="1">
      <alignment/>
    </xf>
    <xf numFmtId="180" fontId="7" fillId="0" borderId="16" xfId="42" applyNumberFormat="1" applyFont="1" applyFill="1" applyBorder="1" applyAlignment="1">
      <alignment/>
    </xf>
    <xf numFmtId="180" fontId="6" fillId="0" borderId="16" xfId="42" applyNumberFormat="1" applyFont="1" applyFill="1" applyBorder="1" applyAlignment="1">
      <alignment/>
    </xf>
    <xf numFmtId="43" fontId="7" fillId="0" borderId="16" xfId="42" applyNumberFormat="1" applyFont="1" applyFill="1" applyBorder="1" applyAlignment="1">
      <alignment/>
    </xf>
    <xf numFmtId="43" fontId="6" fillId="0" borderId="16" xfId="42" applyNumberFormat="1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180" fontId="7" fillId="0" borderId="2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199" fontId="6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199" fontId="7" fillId="0" borderId="17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4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3" fontId="26" fillId="0" borderId="0" xfId="0" applyNumberFormat="1" applyFont="1" applyAlignment="1">
      <alignment/>
    </xf>
    <xf numFmtId="180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3" fontId="11" fillId="35" borderId="0" xfId="0" applyNumberFormat="1" applyFont="1" applyFill="1" applyAlignment="1">
      <alignment horizontal="right"/>
    </xf>
    <xf numFmtId="3" fontId="11" fillId="35" borderId="0" xfId="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4" fontId="16" fillId="35" borderId="0" xfId="0" applyNumberFormat="1" applyFont="1" applyFill="1" applyAlignment="1">
      <alignment/>
    </xf>
    <xf numFmtId="9" fontId="16" fillId="35" borderId="0" xfId="75" applyFont="1" applyFill="1" applyAlignment="1">
      <alignment/>
    </xf>
    <xf numFmtId="4" fontId="16" fillId="35" borderId="0" xfId="75" applyNumberFormat="1" applyFont="1" applyFill="1" applyAlignment="1">
      <alignment/>
    </xf>
    <xf numFmtId="0" fontId="26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wrapText="1"/>
    </xf>
    <xf numFmtId="180" fontId="7" fillId="0" borderId="0" xfId="0" applyNumberFormat="1" applyFont="1" applyFill="1" applyBorder="1" applyAlignment="1">
      <alignment horizontal="left" wrapText="1"/>
    </xf>
    <xf numFmtId="180" fontId="7" fillId="0" borderId="0" xfId="42" applyNumberFormat="1" applyFont="1" applyFill="1" applyBorder="1" applyAlignment="1">
      <alignment horizontal="center"/>
    </xf>
    <xf numFmtId="180" fontId="7" fillId="0" borderId="0" xfId="42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19" xfId="42" applyNumberFormat="1" applyFont="1" applyFill="1" applyBorder="1" applyAlignment="1">
      <alignment horizontal="center"/>
    </xf>
    <xf numFmtId="180" fontId="6" fillId="0" borderId="19" xfId="42" applyNumberFormat="1" applyFont="1" applyFill="1" applyBorder="1" applyAlignment="1">
      <alignment/>
    </xf>
    <xf numFmtId="1" fontId="15" fillId="0" borderId="0" xfId="0" applyNumberFormat="1" applyFont="1" applyAlignment="1">
      <alignment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35" xfId="0" applyNumberFormat="1" applyFont="1" applyBorder="1" applyAlignment="1">
      <alignment/>
    </xf>
    <xf numFmtId="0" fontId="0" fillId="0" borderId="18" xfId="0" applyBorder="1" applyAlignment="1">
      <alignment/>
    </xf>
    <xf numFmtId="0" fontId="15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26" fillId="0" borderId="0" xfId="0" applyNumberFormat="1" applyFont="1" applyAlignment="1">
      <alignment horizontal="justify"/>
    </xf>
    <xf numFmtId="3" fontId="26" fillId="0" borderId="2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35" xfId="0" applyNumberFormat="1" applyFont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10" xfId="0" applyFont="1" applyFill="1" applyBorder="1" applyAlignment="1" quotePrefix="1">
      <alignment horizontal="left" wrapText="1"/>
    </xf>
    <xf numFmtId="9" fontId="6" fillId="33" borderId="0" xfId="75" applyFont="1" applyFill="1" applyBorder="1" applyAlignment="1">
      <alignment/>
    </xf>
    <xf numFmtId="3" fontId="20" fillId="0" borderId="0" xfId="82" applyNumberFormat="1" applyFont="1">
      <alignment/>
      <protection/>
    </xf>
    <xf numFmtId="10" fontId="20" fillId="0" borderId="0" xfId="75" applyNumberFormat="1" applyFont="1" applyAlignment="1">
      <alignment/>
    </xf>
    <xf numFmtId="9" fontId="20" fillId="0" borderId="0" xfId="75" applyFont="1" applyAlignment="1">
      <alignment/>
    </xf>
    <xf numFmtId="10" fontId="6" fillId="33" borderId="0" xfId="75" applyNumberFormat="1" applyFont="1" applyFill="1" applyBorder="1" applyAlignment="1">
      <alignment/>
    </xf>
    <xf numFmtId="10" fontId="6" fillId="0" borderId="0" xfId="75" applyNumberFormat="1" applyFont="1" applyAlignment="1">
      <alignment/>
    </xf>
    <xf numFmtId="10" fontId="16" fillId="0" borderId="0" xfId="75" applyNumberFormat="1" applyFont="1" applyFill="1" applyAlignment="1">
      <alignment/>
    </xf>
    <xf numFmtId="10" fontId="11" fillId="0" borderId="0" xfId="75" applyNumberFormat="1" applyFont="1" applyFill="1" applyBorder="1" applyAlignment="1">
      <alignment/>
    </xf>
    <xf numFmtId="3" fontId="16" fillId="33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86" fillId="0" borderId="0" xfId="75" applyNumberFormat="1" applyFont="1" applyBorder="1" applyAlignment="1">
      <alignment/>
    </xf>
    <xf numFmtId="10" fontId="86" fillId="0" borderId="0" xfId="75" applyNumberFormat="1" applyFont="1" applyBorder="1" applyAlignment="1">
      <alignment/>
    </xf>
    <xf numFmtId="180" fontId="7" fillId="0" borderId="0" xfId="42" applyNumberFormat="1" applyFont="1" applyFill="1" applyBorder="1" applyAlignment="1">
      <alignment horizontal="right"/>
    </xf>
    <xf numFmtId="180" fontId="6" fillId="0" borderId="0" xfId="42" applyNumberFormat="1" applyFont="1" applyFill="1" applyBorder="1" applyAlignment="1">
      <alignment/>
    </xf>
    <xf numFmtId="180" fontId="6" fillId="0" borderId="0" xfId="42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88" fontId="7" fillId="0" borderId="0" xfId="75" applyNumberFormat="1" applyFont="1" applyBorder="1" applyAlignment="1">
      <alignment/>
    </xf>
    <xf numFmtId="187" fontId="6" fillId="0" borderId="0" xfId="42" applyNumberFormat="1" applyFont="1" applyBorder="1" applyAlignment="1">
      <alignment horizontal="right"/>
    </xf>
    <xf numFmtId="187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42" applyNumberFormat="1" applyFont="1" applyFill="1" applyBorder="1" applyAlignment="1">
      <alignment horizontal="right"/>
    </xf>
    <xf numFmtId="9" fontId="6" fillId="0" borderId="0" xfId="75" applyFont="1" applyBorder="1" applyAlignment="1">
      <alignment/>
    </xf>
    <xf numFmtId="180" fontId="87" fillId="0" borderId="0" xfId="42" applyNumberFormat="1" applyFont="1" applyFill="1" applyBorder="1" applyAlignment="1">
      <alignment/>
    </xf>
    <xf numFmtId="180" fontId="86" fillId="0" borderId="0" xfId="42" applyNumberFormat="1" applyFont="1" applyFill="1" applyBorder="1" applyAlignment="1">
      <alignment/>
    </xf>
    <xf numFmtId="180" fontId="86" fillId="0" borderId="0" xfId="42" applyNumberFormat="1" applyFont="1" applyBorder="1" applyAlignment="1">
      <alignment/>
    </xf>
    <xf numFmtId="195" fontId="7" fillId="0" borderId="0" xfId="0" applyNumberFormat="1" applyFont="1" applyBorder="1" applyAlignment="1">
      <alignment horizontal="right"/>
    </xf>
    <xf numFmtId="187" fontId="86" fillId="0" borderId="0" xfId="42" applyNumberFormat="1" applyFont="1" applyBorder="1" applyAlignment="1">
      <alignment horizontal="right"/>
    </xf>
    <xf numFmtId="187" fontId="86" fillId="0" borderId="0" xfId="42" applyNumberFormat="1" applyFont="1" applyBorder="1" applyAlignment="1">
      <alignment/>
    </xf>
    <xf numFmtId="188" fontId="6" fillId="0" borderId="0" xfId="75" applyNumberFormat="1" applyFont="1" applyBorder="1" applyAlignment="1">
      <alignment/>
    </xf>
    <xf numFmtId="180" fontId="7" fillId="0" borderId="0" xfId="42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7" fillId="0" borderId="11" xfId="82" applyFont="1" applyBorder="1" applyAlignment="1">
      <alignment horizontal="justify"/>
      <protection/>
    </xf>
    <xf numFmtId="0" fontId="8" fillId="0" borderId="11" xfId="82" applyFont="1" applyBorder="1" applyAlignment="1">
      <alignment horizontal="justify"/>
      <protection/>
    </xf>
    <xf numFmtId="3" fontId="11" fillId="0" borderId="0" xfId="0" applyNumberFormat="1" applyFont="1" applyFill="1" applyBorder="1" applyAlignment="1">
      <alignment/>
    </xf>
    <xf numFmtId="0" fontId="88" fillId="0" borderId="36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180" fontId="5" fillId="0" borderId="19" xfId="42" applyNumberFormat="1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19" xfId="0" applyFont="1" applyFill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9" fontId="85" fillId="0" borderId="0" xfId="75" applyFont="1" applyFill="1" applyBorder="1" applyAlignment="1">
      <alignment/>
    </xf>
    <xf numFmtId="180" fontId="89" fillId="0" borderId="0" xfId="0" applyNumberFormat="1" applyFont="1" applyAlignment="1">
      <alignment/>
    </xf>
    <xf numFmtId="180" fontId="90" fillId="0" borderId="0" xfId="0" applyNumberFormat="1" applyFont="1" applyAlignment="1">
      <alignment/>
    </xf>
    <xf numFmtId="180" fontId="89" fillId="0" borderId="0" xfId="42" applyNumberFormat="1" applyFont="1" applyFill="1" applyBorder="1" applyAlignment="1">
      <alignment/>
    </xf>
    <xf numFmtId="3" fontId="89" fillId="0" borderId="2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24" xfId="82" applyFont="1" applyBorder="1" applyAlignment="1">
      <alignment wrapText="1"/>
      <protection/>
    </xf>
    <xf numFmtId="2" fontId="10" fillId="0" borderId="19" xfId="0" applyNumberFormat="1" applyFont="1" applyBorder="1" applyAlignment="1">
      <alignment/>
    </xf>
    <xf numFmtId="0" fontId="9" fillId="33" borderId="11" xfId="82" applyFont="1" applyFill="1" applyBorder="1">
      <alignment/>
      <protection/>
    </xf>
    <xf numFmtId="0" fontId="10" fillId="0" borderId="10" xfId="0" applyFont="1" applyBorder="1" applyAlignment="1">
      <alignment/>
    </xf>
    <xf numFmtId="1" fontId="10" fillId="0" borderId="14" xfId="0" applyNumberFormat="1" applyFont="1" applyBorder="1" applyAlignment="1">
      <alignment/>
    </xf>
    <xf numFmtId="10" fontId="6" fillId="0" borderId="0" xfId="75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0" fontId="1" fillId="0" borderId="0" xfId="75" applyNumberFormat="1" applyFont="1" applyAlignment="1">
      <alignment/>
    </xf>
    <xf numFmtId="195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/>
    </xf>
    <xf numFmtId="10" fontId="6" fillId="0" borderId="0" xfId="75" applyNumberFormat="1" applyFont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95" fontId="6" fillId="0" borderId="11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0" fontId="0" fillId="0" borderId="0" xfId="75" applyNumberFormat="1" applyFont="1" applyAlignment="1">
      <alignment/>
    </xf>
    <xf numFmtId="4" fontId="20" fillId="0" borderId="0" xfId="82" applyNumberFormat="1" applyFont="1">
      <alignment/>
      <protection/>
    </xf>
    <xf numFmtId="3" fontId="85" fillId="0" borderId="0" xfId="0" applyNumberFormat="1" applyFont="1" applyFill="1" applyBorder="1" applyAlignment="1">
      <alignment horizontal="left" indent="2"/>
    </xf>
    <xf numFmtId="0" fontId="88" fillId="0" borderId="21" xfId="0" applyFont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1" fontId="88" fillId="0" borderId="21" xfId="0" applyNumberFormat="1" applyFont="1" applyBorder="1" applyAlignment="1">
      <alignment horizontal="center" vertical="center"/>
    </xf>
    <xf numFmtId="1" fontId="88" fillId="0" borderId="39" xfId="0" applyNumberFormat="1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88" fillId="0" borderId="0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215" fontId="91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215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left" vertical="center"/>
    </xf>
    <xf numFmtId="3" fontId="7" fillId="37" borderId="11" xfId="0" applyNumberFormat="1" applyFont="1" applyFill="1" applyBorder="1" applyAlignment="1">
      <alignment/>
    </xf>
    <xf numFmtId="0" fontId="88" fillId="36" borderId="19" xfId="0" applyFont="1" applyFill="1" applyBorder="1" applyAlignment="1">
      <alignment horizontal="right"/>
    </xf>
    <xf numFmtId="0" fontId="88" fillId="36" borderId="19" xfId="0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/>
    </xf>
    <xf numFmtId="0" fontId="6" fillId="0" borderId="21" xfId="72" applyFont="1" applyFill="1" applyBorder="1" applyAlignment="1">
      <alignment horizontal="left" vertical="center" wrapText="1"/>
      <protection/>
    </xf>
    <xf numFmtId="3" fontId="11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/>
    </xf>
    <xf numFmtId="3" fontId="85" fillId="0" borderId="19" xfId="0" applyNumberFormat="1" applyFont="1" applyFill="1" applyBorder="1" applyAlignment="1">
      <alignment/>
    </xf>
    <xf numFmtId="0" fontId="7" fillId="33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7" fontId="27" fillId="0" borderId="0" xfId="42" applyNumberFormat="1" applyFont="1" applyBorder="1" applyAlignment="1">
      <alignment/>
    </xf>
    <xf numFmtId="180" fontId="60" fillId="0" borderId="0" xfId="42" applyNumberFormat="1" applyFont="1" applyBorder="1" applyAlignment="1">
      <alignment/>
    </xf>
    <xf numFmtId="187" fontId="60" fillId="0" borderId="0" xfId="42" applyNumberFormat="1" applyFont="1" applyBorder="1" applyAlignment="1">
      <alignment/>
    </xf>
    <xf numFmtId="188" fontId="89" fillId="0" borderId="0" xfId="75" applyNumberFormat="1" applyFont="1" applyBorder="1" applyAlignment="1">
      <alignment/>
    </xf>
    <xf numFmtId="0" fontId="6" fillId="0" borderId="10" xfId="0" applyFont="1" applyBorder="1" applyAlignment="1">
      <alignment/>
    </xf>
    <xf numFmtId="188" fontId="89" fillId="0" borderId="10" xfId="75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1" fontId="6" fillId="0" borderId="10" xfId="50" applyNumberFormat="1" applyFont="1" applyFill="1" applyBorder="1" applyAlignment="1">
      <alignment/>
    </xf>
    <xf numFmtId="3" fontId="6" fillId="0" borderId="10" xfId="5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0" fontId="92" fillId="0" borderId="0" xfId="0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43" fontId="86" fillId="0" borderId="0" xfId="42" applyNumberFormat="1" applyFont="1" applyBorder="1" applyAlignment="1">
      <alignment/>
    </xf>
    <xf numFmtId="43" fontId="6" fillId="0" borderId="0" xfId="50" applyNumberFormat="1" applyFont="1" applyFill="1" applyBorder="1" applyAlignment="1">
      <alignment/>
    </xf>
    <xf numFmtId="181" fontId="6" fillId="0" borderId="0" xfId="50" applyNumberFormat="1" applyFont="1" applyFill="1" applyBorder="1" applyAlignment="1">
      <alignment/>
    </xf>
    <xf numFmtId="195" fontId="6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93" fontId="93" fillId="0" borderId="0" xfId="0" applyNumberFormat="1" applyFont="1" applyAlignment="1">
      <alignment/>
    </xf>
    <xf numFmtId="0" fontId="8" fillId="0" borderId="0" xfId="0" applyFont="1" applyBorder="1" applyAlignment="1">
      <alignment horizontal="left" indent="5"/>
    </xf>
    <xf numFmtId="180" fontId="6" fillId="0" borderId="0" xfId="5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180" fontId="7" fillId="0" borderId="0" xfId="42" applyNumberFormat="1" applyFont="1" applyBorder="1" applyAlignment="1">
      <alignment/>
    </xf>
    <xf numFmtId="195" fontId="7" fillId="38" borderId="0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 quotePrefix="1">
      <alignment horizontal="left"/>
    </xf>
    <xf numFmtId="0" fontId="6" fillId="0" borderId="19" xfId="0" applyFont="1" applyBorder="1" applyAlignment="1">
      <alignment horizontal="center"/>
    </xf>
    <xf numFmtId="187" fontId="6" fillId="0" borderId="19" xfId="42" applyNumberFormat="1" applyFont="1" applyBorder="1" applyAlignment="1">
      <alignment/>
    </xf>
    <xf numFmtId="188" fontId="86" fillId="0" borderId="26" xfId="75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43" fontId="6" fillId="0" borderId="26" xfId="42" applyNumberFormat="1" applyFont="1" applyBorder="1" applyAlignment="1">
      <alignment/>
    </xf>
    <xf numFmtId="180" fontId="7" fillId="0" borderId="26" xfId="42" applyNumberFormat="1" applyFont="1" applyBorder="1" applyAlignment="1">
      <alignment/>
    </xf>
    <xf numFmtId="9" fontId="89" fillId="0" borderId="26" xfId="75" applyFont="1" applyBorder="1" applyAlignment="1">
      <alignment/>
    </xf>
    <xf numFmtId="188" fontId="89" fillId="0" borderId="26" xfId="75" applyNumberFormat="1" applyFont="1" applyBorder="1" applyAlignment="1">
      <alignment/>
    </xf>
    <xf numFmtId="180" fontId="6" fillId="0" borderId="26" xfId="42" applyNumberFormat="1" applyFont="1" applyBorder="1" applyAlignment="1">
      <alignment/>
    </xf>
    <xf numFmtId="180" fontId="6" fillId="0" borderId="26" xfId="42" applyNumberFormat="1" applyFont="1" applyBorder="1" applyAlignment="1">
      <alignment horizontal="right"/>
    </xf>
    <xf numFmtId="180" fontId="6" fillId="0" borderId="26" xfId="42" applyNumberFormat="1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6" fillId="0" borderId="19" xfId="42" applyNumberFormat="1" applyFont="1" applyFill="1" applyBorder="1" applyAlignment="1">
      <alignment horizontal="right"/>
    </xf>
    <xf numFmtId="0" fontId="7" fillId="0" borderId="2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left"/>
    </xf>
    <xf numFmtId="0" fontId="6" fillId="0" borderId="11" xfId="0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0" fontId="6" fillId="0" borderId="2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1" fontId="6" fillId="0" borderId="0" xfId="42" applyNumberFormat="1" applyFont="1" applyBorder="1" applyAlignment="1">
      <alignment/>
    </xf>
    <xf numFmtId="0" fontId="94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7" fontId="7" fillId="0" borderId="0" xfId="42" applyNumberFormat="1" applyFont="1" applyBorder="1" applyAlignment="1">
      <alignment/>
    </xf>
    <xf numFmtId="187" fontId="7" fillId="0" borderId="0" xfId="42" applyNumberFormat="1" applyFont="1" applyFill="1" applyBorder="1" applyAlignment="1">
      <alignment/>
    </xf>
    <xf numFmtId="187" fontId="6" fillId="0" borderId="0" xfId="42" applyNumberFormat="1" applyFont="1" applyFill="1" applyBorder="1" applyAlignment="1">
      <alignment/>
    </xf>
    <xf numFmtId="180" fontId="6" fillId="0" borderId="10" xfId="50" applyNumberFormat="1" applyFont="1" applyFill="1" applyBorder="1" applyAlignment="1">
      <alignment/>
    </xf>
    <xf numFmtId="195" fontId="6" fillId="38" borderId="10" xfId="0" applyNumberFormat="1" applyFont="1" applyFill="1" applyBorder="1" applyAlignment="1">
      <alignment horizontal="right"/>
    </xf>
    <xf numFmtId="181" fontId="6" fillId="0" borderId="0" xfId="42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95" fontId="6" fillId="38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95" fontId="7" fillId="0" borderId="0" xfId="49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/>
    </xf>
    <xf numFmtId="9" fontId="6" fillId="0" borderId="0" xfId="75" applyNumberFormat="1" applyFont="1" applyBorder="1" applyAlignment="1">
      <alignment/>
    </xf>
    <xf numFmtId="210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Border="1" applyAlignment="1" quotePrefix="1">
      <alignment horizontal="center"/>
    </xf>
    <xf numFmtId="0" fontId="6" fillId="36" borderId="0" xfId="0" applyFont="1" applyFill="1" applyBorder="1" applyAlignment="1">
      <alignment horizontal="centerContinuous"/>
    </xf>
    <xf numFmtId="0" fontId="7" fillId="36" borderId="0" xfId="0" applyFont="1" applyFill="1" applyBorder="1" applyAlignment="1">
      <alignment horizontal="center"/>
    </xf>
    <xf numFmtId="0" fontId="90" fillId="36" borderId="0" xfId="0" applyFont="1" applyFill="1" applyBorder="1" applyAlignment="1">
      <alignment horizontal="centerContinuous"/>
    </xf>
    <xf numFmtId="0" fontId="7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centerContinuous"/>
    </xf>
    <xf numFmtId="0" fontId="7" fillId="36" borderId="20" xfId="0" applyFont="1" applyFill="1" applyBorder="1" applyAlignment="1" quotePrefix="1">
      <alignment horizontal="center"/>
    </xf>
    <xf numFmtId="0" fontId="7" fillId="36" borderId="10" xfId="0" applyFont="1" applyFill="1" applyBorder="1" applyAlignment="1" quotePrefix="1">
      <alignment horizontal="left"/>
    </xf>
    <xf numFmtId="0" fontId="7" fillId="36" borderId="10" xfId="0" applyFont="1" applyFill="1" applyBorder="1" applyAlignment="1">
      <alignment horizontal="center"/>
    </xf>
    <xf numFmtId="180" fontId="7" fillId="36" borderId="0" xfId="42" applyNumberFormat="1" applyFont="1" applyFill="1" applyBorder="1" applyAlignment="1">
      <alignment horizontal="right"/>
    </xf>
    <xf numFmtId="180" fontId="6" fillId="0" borderId="11" xfId="42" applyNumberFormat="1" applyFont="1" applyFill="1" applyBorder="1" applyAlignment="1">
      <alignment/>
    </xf>
    <xf numFmtId="180" fontId="6" fillId="0" borderId="11" xfId="42" applyNumberFormat="1" applyFont="1" applyBorder="1" applyAlignment="1">
      <alignment/>
    </xf>
    <xf numFmtId="180" fontId="7" fillId="0" borderId="11" xfId="42" applyNumberFormat="1" applyFont="1" applyBorder="1" applyAlignment="1">
      <alignment/>
    </xf>
    <xf numFmtId="187" fontId="6" fillId="0" borderId="11" xfId="42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19" xfId="0" applyFont="1" applyBorder="1" applyAlignment="1">
      <alignment/>
    </xf>
    <xf numFmtId="187" fontId="7" fillId="0" borderId="19" xfId="42" applyNumberFormat="1" applyFont="1" applyBorder="1" applyAlignment="1">
      <alignment/>
    </xf>
    <xf numFmtId="195" fontId="6" fillId="0" borderId="10" xfId="0" applyNumberFormat="1" applyFont="1" applyBorder="1" applyAlignment="1">
      <alignment horizontal="right"/>
    </xf>
    <xf numFmtId="0" fontId="90" fillId="0" borderId="0" xfId="0" applyFont="1" applyAlignment="1">
      <alignment/>
    </xf>
    <xf numFmtId="0" fontId="7" fillId="36" borderId="2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24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180" fontId="6" fillId="37" borderId="12" xfId="42" applyNumberFormat="1" applyFont="1" applyFill="1" applyBorder="1" applyAlignment="1">
      <alignment/>
    </xf>
    <xf numFmtId="0" fontId="95" fillId="0" borderId="0" xfId="0" applyFont="1" applyAlignment="1">
      <alignment/>
    </xf>
    <xf numFmtId="0" fontId="7" fillId="36" borderId="17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67" fillId="0" borderId="16" xfId="0" applyFont="1" applyBorder="1" applyAlignment="1">
      <alignment/>
    </xf>
    <xf numFmtId="3" fontId="67" fillId="0" borderId="17" xfId="0" applyNumberFormat="1" applyFont="1" applyFill="1" applyBorder="1" applyAlignment="1">
      <alignment horizontal="right"/>
    </xf>
    <xf numFmtId="3" fontId="67" fillId="0" borderId="17" xfId="0" applyNumberFormat="1" applyFont="1" applyBorder="1" applyAlignment="1">
      <alignment horizontal="right"/>
    </xf>
    <xf numFmtId="3" fontId="67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36" borderId="16" xfId="0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5" fillId="36" borderId="22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67" fillId="0" borderId="16" xfId="0" applyNumberFormat="1" applyFont="1" applyBorder="1" applyAlignment="1">
      <alignment horizontal="right"/>
    </xf>
    <xf numFmtId="0" fontId="16" fillId="36" borderId="11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/>
    </xf>
    <xf numFmtId="3" fontId="16" fillId="36" borderId="11" xfId="0" applyNumberFormat="1" applyFont="1" applyFill="1" applyBorder="1" applyAlignment="1">
      <alignment/>
    </xf>
    <xf numFmtId="3" fontId="16" fillId="36" borderId="0" xfId="0" applyNumberFormat="1" applyFont="1" applyFill="1" applyAlignment="1">
      <alignment/>
    </xf>
    <xf numFmtId="0" fontId="11" fillId="36" borderId="0" xfId="0" applyFont="1" applyFill="1" applyAlignment="1">
      <alignment/>
    </xf>
    <xf numFmtId="180" fontId="6" fillId="0" borderId="0" xfId="42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2"/>
    </xf>
    <xf numFmtId="10" fontId="6" fillId="0" borderId="0" xfId="75" applyNumberFormat="1" applyFont="1" applyFill="1" applyBorder="1" applyAlignment="1">
      <alignment/>
    </xf>
    <xf numFmtId="180" fontId="7" fillId="33" borderId="0" xfId="42" applyNumberFormat="1" applyFont="1" applyFill="1" applyBorder="1" applyAlignment="1">
      <alignment/>
    </xf>
    <xf numFmtId="180" fontId="7" fillId="34" borderId="0" xfId="42" applyNumberFormat="1" applyFont="1" applyFill="1" applyBorder="1" applyAlignment="1">
      <alignment/>
    </xf>
    <xf numFmtId="10" fontId="7" fillId="0" borderId="0" xfId="75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221" fontId="6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/>
    </xf>
    <xf numFmtId="197" fontId="6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33" borderId="0" xfId="42" applyNumberFormat="1" applyFont="1" applyFill="1" applyBorder="1" applyAlignment="1">
      <alignment/>
    </xf>
    <xf numFmtId="180" fontId="7" fillId="0" borderId="0" xfId="0" applyNumberFormat="1" applyFont="1" applyBorder="1" applyAlignment="1">
      <alignment horizontal="left" wrapText="1"/>
    </xf>
    <xf numFmtId="180" fontId="7" fillId="0" borderId="0" xfId="42" applyNumberFormat="1" applyFont="1" applyBorder="1" applyAlignment="1">
      <alignment horizontal="center"/>
    </xf>
    <xf numFmtId="180" fontId="6" fillId="0" borderId="0" xfId="42" applyNumberFormat="1" applyFont="1" applyBorder="1" applyAlignment="1">
      <alignment horizontal="center"/>
    </xf>
    <xf numFmtId="180" fontId="7" fillId="0" borderId="19" xfId="42" applyNumberFormat="1" applyFont="1" applyFill="1" applyBorder="1" applyAlignment="1">
      <alignment/>
    </xf>
    <xf numFmtId="3" fontId="11" fillId="37" borderId="0" xfId="0" applyNumberFormat="1" applyFont="1" applyFill="1" applyAlignment="1">
      <alignment/>
    </xf>
    <xf numFmtId="199" fontId="6" fillId="0" borderId="0" xfId="0" applyNumberFormat="1" applyFont="1" applyAlignment="1">
      <alignment/>
    </xf>
    <xf numFmtId="199" fontId="96" fillId="0" borderId="0" xfId="0" applyNumberFormat="1" applyFont="1" applyAlignment="1">
      <alignment/>
    </xf>
    <xf numFmtId="0" fontId="97" fillId="0" borderId="0" xfId="0" applyFont="1" applyBorder="1" applyAlignment="1">
      <alignment/>
    </xf>
    <xf numFmtId="0" fontId="97" fillId="0" borderId="12" xfId="0" applyFont="1" applyBorder="1" applyAlignment="1">
      <alignment/>
    </xf>
    <xf numFmtId="1" fontId="11" fillId="0" borderId="0" xfId="0" applyNumberFormat="1" applyFont="1" applyAlignment="1">
      <alignment/>
    </xf>
    <xf numFmtId="0" fontId="88" fillId="0" borderId="0" xfId="0" applyFont="1" applyAlignment="1">
      <alignment/>
    </xf>
    <xf numFmtId="215" fontId="98" fillId="0" borderId="0" xfId="0" applyNumberFormat="1" applyFont="1" applyAlignment="1">
      <alignment horizontal="center" vertical="center"/>
    </xf>
    <xf numFmtId="223" fontId="98" fillId="0" borderId="0" xfId="0" applyNumberFormat="1" applyFont="1" applyAlignment="1">
      <alignment horizontal="center" vertical="center"/>
    </xf>
    <xf numFmtId="3" fontId="91" fillId="0" borderId="0" xfId="0" applyNumberFormat="1" applyFont="1" applyAlignment="1">
      <alignment/>
    </xf>
    <xf numFmtId="0" fontId="97" fillId="0" borderId="0" xfId="0" applyFont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8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40" borderId="2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180" fontId="7" fillId="40" borderId="0" xfId="42" applyNumberFormat="1" applyFont="1" applyFill="1" applyBorder="1" applyAlignment="1">
      <alignment/>
    </xf>
    <xf numFmtId="0" fontId="7" fillId="40" borderId="0" xfId="0" applyFont="1" applyFill="1" applyBorder="1" applyAlignment="1" quotePrefix="1">
      <alignment horizontal="left" wrapText="1"/>
    </xf>
    <xf numFmtId="180" fontId="7" fillId="40" borderId="0" xfId="42" applyNumberFormat="1" applyFont="1" applyFill="1" applyBorder="1" applyAlignment="1">
      <alignment/>
    </xf>
    <xf numFmtId="0" fontId="14" fillId="4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40" borderId="13" xfId="0" applyFont="1" applyFill="1" applyBorder="1" applyAlignment="1">
      <alignment wrapText="1"/>
    </xf>
    <xf numFmtId="14" fontId="7" fillId="40" borderId="14" xfId="0" applyNumberFormat="1" applyFont="1" applyFill="1" applyBorder="1" applyAlignment="1">
      <alignment horizontal="centerContinuous"/>
    </xf>
    <xf numFmtId="180" fontId="7" fillId="0" borderId="0" xfId="0" applyNumberFormat="1" applyFont="1" applyFill="1" applyAlignment="1">
      <alignment horizontal="center"/>
    </xf>
    <xf numFmtId="0" fontId="7" fillId="40" borderId="10" xfId="0" applyFont="1" applyFill="1" applyBorder="1" applyAlignment="1">
      <alignment horizontal="centerContinuous"/>
    </xf>
    <xf numFmtId="3" fontId="7" fillId="40" borderId="0" xfId="0" applyNumberFormat="1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3" fontId="7" fillId="40" borderId="1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0" fontId="7" fillId="0" borderId="0" xfId="75" applyNumberFormat="1" applyFont="1" applyFill="1" applyAlignment="1">
      <alignment/>
    </xf>
    <xf numFmtId="3" fontId="7" fillId="40" borderId="0" xfId="0" applyNumberFormat="1" applyFont="1" applyFill="1" applyBorder="1" applyAlignment="1">
      <alignment horizontal="left"/>
    </xf>
    <xf numFmtId="3" fontId="6" fillId="4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 indent="2"/>
    </xf>
    <xf numFmtId="9" fontId="89" fillId="0" borderId="0" xfId="75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left" indent="2"/>
    </xf>
    <xf numFmtId="180" fontId="6" fillId="0" borderId="0" xfId="0" applyNumberFormat="1" applyFont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188" fontId="6" fillId="0" borderId="0" xfId="75" applyNumberFormat="1" applyFont="1" applyFill="1" applyAlignment="1">
      <alignment/>
    </xf>
    <xf numFmtId="180" fontId="6" fillId="0" borderId="0" xfId="0" applyNumberFormat="1" applyFont="1" applyBorder="1" applyAlignment="1">
      <alignment/>
    </xf>
    <xf numFmtId="3" fontId="89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justify"/>
    </xf>
    <xf numFmtId="3" fontId="7" fillId="40" borderId="14" xfId="0" applyNumberFormat="1" applyFont="1" applyFill="1" applyBorder="1" applyAlignment="1">
      <alignment/>
    </xf>
    <xf numFmtId="0" fontId="7" fillId="40" borderId="14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42" xfId="0" applyFont="1" applyFill="1" applyBorder="1" applyAlignment="1">
      <alignment/>
    </xf>
    <xf numFmtId="0" fontId="7" fillId="33" borderId="42" xfId="0" applyFont="1" applyFill="1" applyBorder="1" applyAlignment="1">
      <alignment horizontal="center"/>
    </xf>
    <xf numFmtId="180" fontId="90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80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89" fillId="0" borderId="0" xfId="0" applyFont="1" applyBorder="1" applyAlignment="1">
      <alignment horizontal="left" indent="3"/>
    </xf>
    <xf numFmtId="180" fontId="89" fillId="0" borderId="0" xfId="42" applyNumberFormat="1" applyFont="1" applyBorder="1" applyAlignment="1">
      <alignment/>
    </xf>
    <xf numFmtId="0" fontId="89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180" fontId="6" fillId="0" borderId="0" xfId="0" applyNumberFormat="1" applyFont="1" applyBorder="1" applyAlignment="1">
      <alignment horizontal="center"/>
    </xf>
    <xf numFmtId="180" fontId="89" fillId="0" borderId="0" xfId="0" applyNumberFormat="1" applyFont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80" fontId="7" fillId="33" borderId="0" xfId="0" applyNumberFormat="1" applyFont="1" applyFill="1" applyBorder="1" applyAlignment="1">
      <alignment horizontal="left"/>
    </xf>
    <xf numFmtId="0" fontId="7" fillId="41" borderId="0" xfId="0" applyFont="1" applyFill="1" applyBorder="1" applyAlignment="1">
      <alignment/>
    </xf>
    <xf numFmtId="180" fontId="7" fillId="41" borderId="0" xfId="42" applyNumberFormat="1" applyFont="1" applyFill="1" applyBorder="1" applyAlignment="1">
      <alignment/>
    </xf>
    <xf numFmtId="0" fontId="7" fillId="41" borderId="0" xfId="0" applyFont="1" applyFill="1" applyBorder="1" applyAlignment="1">
      <alignment horizontal="left" indent="1"/>
    </xf>
    <xf numFmtId="180" fontId="7" fillId="41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7" fillId="33" borderId="42" xfId="0" applyFont="1" applyFill="1" applyBorder="1" applyAlignment="1">
      <alignment/>
    </xf>
    <xf numFmtId="180" fontId="7" fillId="0" borderId="42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6" fillId="33" borderId="0" xfId="0" applyFont="1" applyFill="1" applyBorder="1" applyAlignment="1">
      <alignment/>
    </xf>
    <xf numFmtId="180" fontId="7" fillId="0" borderId="0" xfId="42" applyNumberFormat="1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89" fillId="0" borderId="0" xfId="0" applyNumberFormat="1" applyFont="1" applyAlignment="1">
      <alignment/>
    </xf>
    <xf numFmtId="0" fontId="6" fillId="0" borderId="0" xfId="0" applyFont="1" applyBorder="1" applyAlignment="1">
      <alignment horizontal="left" indent="3"/>
    </xf>
    <xf numFmtId="0" fontId="6" fillId="40" borderId="14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left" indent="1"/>
    </xf>
    <xf numFmtId="180" fontId="7" fillId="40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37" fillId="40" borderId="14" xfId="0" applyFont="1" applyFill="1" applyBorder="1" applyAlignment="1">
      <alignment/>
    </xf>
    <xf numFmtId="3" fontId="10" fillId="0" borderId="0" xfId="82" applyNumberFormat="1" applyFont="1" applyBorder="1">
      <alignment/>
      <protection/>
    </xf>
    <xf numFmtId="3" fontId="10" fillId="0" borderId="0" xfId="82" applyNumberFormat="1" applyFont="1" applyFill="1" applyBorder="1">
      <alignment/>
      <protection/>
    </xf>
    <xf numFmtId="3" fontId="18" fillId="33" borderId="26" xfId="82" applyNumberFormat="1" applyFont="1" applyFill="1" applyBorder="1">
      <alignment/>
      <protection/>
    </xf>
    <xf numFmtId="3" fontId="18" fillId="33" borderId="0" xfId="82" applyNumberFormat="1" applyFont="1" applyFill="1" applyBorder="1">
      <alignment/>
      <protection/>
    </xf>
    <xf numFmtId="3" fontId="10" fillId="33" borderId="0" xfId="82" applyNumberFormat="1" applyFont="1" applyFill="1" applyBorder="1">
      <alignment/>
      <protection/>
    </xf>
    <xf numFmtId="3" fontId="18" fillId="0" borderId="0" xfId="82" applyNumberFormat="1" applyFont="1" applyFill="1" applyBorder="1">
      <alignment/>
      <protection/>
    </xf>
    <xf numFmtId="3" fontId="18" fillId="0" borderId="0" xfId="82" applyNumberFormat="1" applyFont="1" applyBorder="1">
      <alignment/>
      <protection/>
    </xf>
    <xf numFmtId="0" fontId="10" fillId="0" borderId="0" xfId="82" applyFont="1" applyFill="1" applyBorder="1">
      <alignment/>
      <protection/>
    </xf>
    <xf numFmtId="0" fontId="10" fillId="0" borderId="0" xfId="82" applyFont="1" applyBorder="1">
      <alignment/>
      <protection/>
    </xf>
    <xf numFmtId="0" fontId="10" fillId="33" borderId="0" xfId="82" applyFont="1" applyFill="1" applyBorder="1">
      <alignment/>
      <protection/>
    </xf>
    <xf numFmtId="0" fontId="10" fillId="33" borderId="26" xfId="82" applyFont="1" applyFill="1" applyBorder="1">
      <alignment/>
      <protection/>
    </xf>
    <xf numFmtId="3" fontId="10" fillId="0" borderId="10" xfId="82" applyNumberFormat="1" applyFont="1" applyBorder="1">
      <alignment/>
      <protection/>
    </xf>
    <xf numFmtId="3" fontId="10" fillId="33" borderId="10" xfId="82" applyNumberFormat="1" applyFont="1" applyFill="1" applyBorder="1">
      <alignment/>
      <protection/>
    </xf>
    <xf numFmtId="3" fontId="10" fillId="0" borderId="14" xfId="82" applyNumberFormat="1" applyFont="1" applyBorder="1">
      <alignment/>
      <protection/>
    </xf>
    <xf numFmtId="3" fontId="10" fillId="33" borderId="14" xfId="82" applyNumberFormat="1" applyFont="1" applyFill="1" applyBorder="1">
      <alignment/>
      <protection/>
    </xf>
    <xf numFmtId="2" fontId="10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2" fontId="10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0" fontId="10" fillId="0" borderId="0" xfId="75" applyNumberFormat="1" applyFont="1" applyAlignment="1">
      <alignment/>
    </xf>
    <xf numFmtId="195" fontId="10" fillId="0" borderId="0" xfId="0" applyNumberFormat="1" applyFont="1" applyAlignment="1">
      <alignment/>
    </xf>
    <xf numFmtId="0" fontId="7" fillId="0" borderId="0" xfId="82" applyFont="1" applyBorder="1">
      <alignment/>
      <protection/>
    </xf>
    <xf numFmtId="0" fontId="10" fillId="0" borderId="0" xfId="82" applyFont="1">
      <alignment/>
      <protection/>
    </xf>
    <xf numFmtId="0" fontId="18" fillId="0" borderId="0" xfId="82" applyFont="1">
      <alignment/>
      <protection/>
    </xf>
    <xf numFmtId="3" fontId="7" fillId="40" borderId="14" xfId="0" applyNumberFormat="1" applyFont="1" applyFill="1" applyBorder="1" applyAlignment="1">
      <alignment horizontal="center"/>
    </xf>
    <xf numFmtId="0" fontId="9" fillId="0" borderId="11" xfId="82" applyFont="1" applyFill="1" applyBorder="1">
      <alignment/>
      <protection/>
    </xf>
    <xf numFmtId="0" fontId="10" fillId="0" borderId="0" xfId="82" applyFont="1" applyFill="1" applyBorder="1" applyAlignment="1">
      <alignment horizontal="center"/>
      <protection/>
    </xf>
    <xf numFmtId="0" fontId="10" fillId="0" borderId="0" xfId="82" applyFont="1" applyBorder="1" applyAlignment="1">
      <alignment horizontal="center"/>
      <protection/>
    </xf>
    <xf numFmtId="0" fontId="6" fillId="0" borderId="11" xfId="82" applyFont="1" applyBorder="1">
      <alignment/>
      <protection/>
    </xf>
    <xf numFmtId="0" fontId="6" fillId="0" borderId="11" xfId="82" applyFont="1" applyBorder="1" applyAlignment="1">
      <alignment horizontal="left" indent="1"/>
      <protection/>
    </xf>
    <xf numFmtId="0" fontId="6" fillId="0" borderId="11" xfId="82" applyFont="1" applyBorder="1" applyAlignment="1">
      <alignment horizontal="left" indent="4"/>
      <protection/>
    </xf>
    <xf numFmtId="0" fontId="7" fillId="33" borderId="25" xfId="82" applyFont="1" applyFill="1" applyBorder="1">
      <alignment/>
      <protection/>
    </xf>
    <xf numFmtId="0" fontId="8" fillId="0" borderId="11" xfId="64" applyFont="1" applyBorder="1">
      <alignment/>
      <protection/>
    </xf>
    <xf numFmtId="0" fontId="7" fillId="0" borderId="11" xfId="82" applyFont="1" applyBorder="1">
      <alignment/>
      <protection/>
    </xf>
    <xf numFmtId="0" fontId="8" fillId="0" borderId="11" xfId="82" applyFont="1" applyBorder="1">
      <alignment/>
      <protection/>
    </xf>
    <xf numFmtId="0" fontId="7" fillId="0" borderId="11" xfId="82" applyFont="1" applyBorder="1" applyAlignment="1">
      <alignment horizontal="justify"/>
      <protection/>
    </xf>
    <xf numFmtId="0" fontId="8" fillId="0" borderId="11" xfId="82" applyFont="1" applyBorder="1" applyAlignment="1">
      <alignment horizontal="justify"/>
      <protection/>
    </xf>
    <xf numFmtId="0" fontId="7" fillId="33" borderId="25" xfId="82" applyFont="1" applyFill="1" applyBorder="1" applyAlignment="1">
      <alignment wrapText="1"/>
      <protection/>
    </xf>
    <xf numFmtId="0" fontId="6" fillId="0" borderId="11" xfId="82" applyFont="1" applyBorder="1" applyAlignment="1">
      <alignment horizontal="left"/>
      <protection/>
    </xf>
    <xf numFmtId="0" fontId="9" fillId="33" borderId="25" xfId="82" applyFont="1" applyFill="1" applyBorder="1">
      <alignment/>
      <protection/>
    </xf>
    <xf numFmtId="0" fontId="6" fillId="0" borderId="20" xfId="82" applyFont="1" applyBorder="1" applyAlignment="1">
      <alignment wrapText="1"/>
      <protection/>
    </xf>
    <xf numFmtId="0" fontId="6" fillId="0" borderId="11" xfId="82" applyFont="1" applyBorder="1" applyAlignment="1">
      <alignment wrapText="1"/>
      <protection/>
    </xf>
    <xf numFmtId="0" fontId="6" fillId="0" borderId="13" xfId="82" applyFont="1" applyBorder="1">
      <alignment/>
      <protection/>
    </xf>
    <xf numFmtId="0" fontId="6" fillId="0" borderId="24" xfId="82" applyFont="1" applyBorder="1" applyAlignment="1">
      <alignment wrapText="1"/>
      <protection/>
    </xf>
    <xf numFmtId="0" fontId="9" fillId="33" borderId="11" xfId="82" applyFont="1" applyFill="1" applyBorder="1">
      <alignment/>
      <protection/>
    </xf>
    <xf numFmtId="0" fontId="6" fillId="0" borderId="13" xfId="82" applyFont="1" applyBorder="1" applyAlignment="1">
      <alignment wrapText="1"/>
      <protection/>
    </xf>
    <xf numFmtId="195" fontId="10" fillId="0" borderId="0" xfId="0" applyNumberFormat="1" applyFont="1" applyBorder="1" applyAlignment="1">
      <alignment/>
    </xf>
    <xf numFmtId="0" fontId="7" fillId="40" borderId="13" xfId="82" applyFont="1" applyFill="1" applyBorder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4" fontId="7" fillId="0" borderId="0" xfId="0" applyNumberFormat="1" applyFont="1" applyFill="1" applyAlignment="1" quotePrefix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88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98" fillId="0" borderId="0" xfId="0" applyFont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2 2" xfId="46"/>
    <cellStyle name="Comma 2 3" xfId="47"/>
    <cellStyle name="Comma 3" xfId="48"/>
    <cellStyle name="Comma 7" xfId="49"/>
    <cellStyle name="Comma_Book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3" xfId="67"/>
    <cellStyle name="Normal 3" xfId="68"/>
    <cellStyle name="Normal 3 2" xfId="69"/>
    <cellStyle name="Normal 4" xfId="70"/>
    <cellStyle name="Normal 4 2" xfId="71"/>
    <cellStyle name="Normal_Copy of Xl0000123-2014 g." xfId="72"/>
    <cellStyle name="Note" xfId="73"/>
    <cellStyle name="Output" xfId="74"/>
    <cellStyle name="Percent" xfId="75"/>
    <cellStyle name="Percent 2 2" xfId="76"/>
    <cellStyle name="Percent 2 3" xfId="77"/>
    <cellStyle name="Style 1" xfId="78"/>
    <cellStyle name="Title" xfId="79"/>
    <cellStyle name="Total" xfId="80"/>
    <cellStyle name="Warning Text" xfId="81"/>
    <cellStyle name="Нормален_Oditirani_fin_poki_2002_2012_31122013" xfId="82"/>
    <cellStyle name="Нормален_Копие на proekt_2012-2014_infrs taxi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575"/>
          <c:w val="0.906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Приходи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graf!$B$3:$I$3</c:f>
              <c:numCache/>
            </c:numRef>
          </c:cat>
          <c:val>
            <c:numRef>
              <c:f>graf!$B$4:$I$4</c:f>
              <c:numCache/>
            </c:numRef>
          </c:val>
          <c:smooth val="0"/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Оперативни разходи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graf!$B$3:$I$3</c:f>
              <c:numCache/>
            </c:numRef>
          </c:cat>
          <c:val>
            <c:numRef>
              <c:f>graf!$B$5:$I$5</c:f>
              <c:numCache/>
            </c:numRef>
          </c:val>
          <c:smooth val="0"/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EBITDA 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graf!$B$3:$I$3</c:f>
              <c:numCache/>
            </c:numRef>
          </c:cat>
          <c:val>
            <c:numRef>
              <c:f>graf!$B$6:$I$6</c:f>
              <c:numCache/>
            </c:numRef>
          </c:val>
          <c:smooth val="0"/>
        </c:ser>
        <c:marker val="1"/>
        <c:axId val="63882309"/>
        <c:axId val="30319178"/>
      </c:lineChart>
      <c:catAx>
        <c:axId val="6388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9178"/>
        <c:crosses val="autoZero"/>
        <c:auto val="1"/>
        <c:lblOffset val="100"/>
        <c:tickLblSkip val="1"/>
        <c:noMultiLvlLbl val="0"/>
      </c:catAx>
      <c:valAx>
        <c:axId val="30319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2309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"/>
          <c:y val="0.874"/>
          <c:w val="0.630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06"/>
          <c:w val="0.921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graf!$A$28</c:f>
              <c:strCache>
                <c:ptCount val="1"/>
                <c:pt idx="0">
                  <c:v>Приходи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graf!$B$27:$D$27</c:f>
              <c:numCache/>
            </c:numRef>
          </c:cat>
          <c:val>
            <c:numRef>
              <c:f>graf!$B$28:$D$28</c:f>
              <c:numCache/>
            </c:numRef>
          </c:val>
          <c:smooth val="0"/>
        </c:ser>
        <c:ser>
          <c:idx val="1"/>
          <c:order val="1"/>
          <c:tx>
            <c:strRef>
              <c:f>graf!$A$29</c:f>
              <c:strCache>
                <c:ptCount val="1"/>
                <c:pt idx="0">
                  <c:v>Оперативни разходи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graf!$B$27:$D$27</c:f>
              <c:numCache/>
            </c:numRef>
          </c:cat>
          <c:val>
            <c:numRef>
              <c:f>graf!$B$29:$D$29</c:f>
              <c:numCache/>
            </c:numRef>
          </c:val>
          <c:smooth val="0"/>
        </c:ser>
        <c:ser>
          <c:idx val="2"/>
          <c:order val="2"/>
          <c:tx>
            <c:strRef>
              <c:f>graf!$A$30</c:f>
              <c:strCache>
                <c:ptCount val="1"/>
                <c:pt idx="0">
                  <c:v>EBITDA 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graf!$B$27:$D$27</c:f>
              <c:numCache/>
            </c:numRef>
          </c:cat>
          <c:val>
            <c:numRef>
              <c:f>graf!$B$30:$D$30</c:f>
              <c:numCache/>
            </c:numRef>
          </c:val>
          <c:smooth val="0"/>
        </c:ser>
        <c:marker val="1"/>
        <c:axId val="63412563"/>
        <c:axId val="5422640"/>
      </c:lineChart>
      <c:catAx>
        <c:axId val="63412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22640"/>
        <c:crosses val="autoZero"/>
        <c:auto val="1"/>
        <c:lblOffset val="100"/>
        <c:tickLblSkip val="1"/>
        <c:noMultiLvlLbl val="0"/>
      </c:catAx>
      <c:valAx>
        <c:axId val="5422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12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5"/>
          <c:y val="0.85575"/>
          <c:w val="0.950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6"/>
          <c:w val="0.972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graf!$A$51</c:f>
              <c:strCache>
                <c:ptCount val="1"/>
                <c:pt idx="0">
                  <c:v>Приходи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graf!$B$50:$D$50</c:f>
              <c:numCache/>
            </c:numRef>
          </c:cat>
          <c:val>
            <c:numRef>
              <c:f>graf!$B$51:$D$51</c:f>
              <c:numCache/>
            </c:numRef>
          </c:val>
          <c:smooth val="0"/>
        </c:ser>
        <c:ser>
          <c:idx val="1"/>
          <c:order val="1"/>
          <c:tx>
            <c:strRef>
              <c:f>graf!$A$52</c:f>
              <c:strCache>
                <c:ptCount val="1"/>
                <c:pt idx="0">
                  <c:v>Оперативни разходи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graf!$B$50:$D$50</c:f>
              <c:numCache/>
            </c:numRef>
          </c:cat>
          <c:val>
            <c:numRef>
              <c:f>graf!$B$52:$D$52</c:f>
              <c:numCache/>
            </c:numRef>
          </c:val>
          <c:smooth val="0"/>
        </c:ser>
        <c:ser>
          <c:idx val="2"/>
          <c:order val="2"/>
          <c:tx>
            <c:strRef>
              <c:f>graf!$A$53</c:f>
              <c:strCache>
                <c:ptCount val="1"/>
                <c:pt idx="0">
                  <c:v>EBITDA 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graf!$B$50:$D$50</c:f>
              <c:numCache/>
            </c:numRef>
          </c:cat>
          <c:val>
            <c:numRef>
              <c:f>graf!$B$53:$D$53</c:f>
              <c:numCache/>
            </c:numRef>
          </c:val>
          <c:smooth val="0"/>
        </c:ser>
        <c:marker val="1"/>
        <c:axId val="18964465"/>
        <c:axId val="65592550"/>
      </c:lineChart>
      <c:catAx>
        <c:axId val="189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592550"/>
        <c:crosses val="autoZero"/>
        <c:auto val="1"/>
        <c:lblOffset val="100"/>
        <c:tickLblSkip val="1"/>
        <c:noMultiLvlLbl val="0"/>
      </c:catAx>
      <c:valAx>
        <c:axId val="65592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64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75"/>
          <c:y val="0.81375"/>
          <c:w val="0.933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9</xdr:row>
      <xdr:rowOff>57150</xdr:rowOff>
    </xdr:from>
    <xdr:to>
      <xdr:col>11</xdr:col>
      <xdr:colOff>400050</xdr:colOff>
      <xdr:row>24</xdr:row>
      <xdr:rowOff>123825</xdr:rowOff>
    </xdr:to>
    <xdr:graphicFrame>
      <xdr:nvGraphicFramePr>
        <xdr:cNvPr id="1" name="Chart 3"/>
        <xdr:cNvGraphicFramePr/>
      </xdr:nvGraphicFramePr>
      <xdr:xfrm>
        <a:off x="4229100" y="1733550"/>
        <a:ext cx="6610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2228850</xdr:colOff>
      <xdr:row>31</xdr:row>
      <xdr:rowOff>9525</xdr:rowOff>
    </xdr:from>
    <xdr:to>
      <xdr:col>5</xdr:col>
      <xdr:colOff>285750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2228850" y="5381625"/>
        <a:ext cx="45624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2324100</xdr:colOff>
      <xdr:row>53</xdr:row>
      <xdr:rowOff>123825</xdr:rowOff>
    </xdr:from>
    <xdr:to>
      <xdr:col>5</xdr:col>
      <xdr:colOff>381000</xdr:colOff>
      <xdr:row>68</xdr:row>
      <xdr:rowOff>28575</xdr:rowOff>
    </xdr:to>
    <xdr:graphicFrame>
      <xdr:nvGraphicFramePr>
        <xdr:cNvPr id="3" name="Chart 3"/>
        <xdr:cNvGraphicFramePr/>
      </xdr:nvGraphicFramePr>
      <xdr:xfrm>
        <a:off x="2324100" y="9182100"/>
        <a:ext cx="456247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ia\shareddocs\Katya_Documents\PROEKT_2015\BISNES%20PLSN%20_19012014\BISNES%20PLAN_2015_2801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puskania"/>
      <sheetName val="personal"/>
      <sheetName val="infra_taksi"/>
      <sheetName val="pass_vag"/>
      <sheetName val="pass_lok"/>
      <sheetName val="tab_remont"/>
      <sheetName val="obemi_srav"/>
      <sheetName val="obemi"/>
      <sheetName val="balans"/>
      <sheetName val="Balans_SS"/>
      <sheetName val="kesh-fl"/>
      <sheetName val="par_potok"/>
      <sheetName val="OPR_SS"/>
      <sheetName val="struktura"/>
      <sheetName val="bruto_G_El"/>
      <sheetName val="dr_rashodi"/>
      <sheetName val="VU"/>
      <sheetName val="OPR_Funk"/>
      <sheetName val="deinosti"/>
      <sheetName val="par_potok_dein"/>
      <sheetName val="zaemi"/>
      <sheetName val="Sheet1"/>
    </sheetNames>
    <sheetDataSet>
      <sheetData sheetId="8">
        <row r="72">
          <cell r="D72">
            <v>6971</v>
          </cell>
          <cell r="E72">
            <v>8004</v>
          </cell>
          <cell r="F72">
            <v>11107</v>
          </cell>
          <cell r="G72">
            <v>13321</v>
          </cell>
          <cell r="H72">
            <v>13898</v>
          </cell>
          <cell r="I72">
            <v>17476</v>
          </cell>
          <cell r="J72">
            <v>20350</v>
          </cell>
          <cell r="K72">
            <v>21004</v>
          </cell>
        </row>
      </sheetData>
      <sheetData sheetId="11">
        <row r="66">
          <cell r="C66">
            <v>6971</v>
          </cell>
          <cell r="D66">
            <v>8004</v>
          </cell>
          <cell r="E66">
            <v>11107</v>
          </cell>
          <cell r="F66">
            <v>13321</v>
          </cell>
          <cell r="G66">
            <v>13898</v>
          </cell>
          <cell r="H66">
            <v>17476</v>
          </cell>
          <cell r="I66">
            <v>20350</v>
          </cell>
          <cell r="J66">
            <v>21004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zoomScalePageLayoutView="0" workbookViewId="0" topLeftCell="A11">
      <selection activeCell="A150" sqref="A150"/>
    </sheetView>
  </sheetViews>
  <sheetFormatPr defaultColWidth="9.140625" defaultRowHeight="12.75"/>
  <cols>
    <col min="1" max="1" width="51.28125" style="4" customWidth="1"/>
    <col min="2" max="4" width="9.7109375" style="4" customWidth="1"/>
    <col min="5" max="6" width="9.7109375" style="134" customWidth="1"/>
    <col min="7" max="7" width="9.7109375" style="134" customWidth="1" collapsed="1"/>
    <col min="8" max="9" width="9.7109375" style="134" customWidth="1"/>
    <col min="10" max="13" width="9.7109375" style="4" customWidth="1"/>
    <col min="14" max="17" width="9.7109375" style="10" customWidth="1"/>
    <col min="18" max="18" width="9.140625" style="4" customWidth="1"/>
    <col min="19" max="19" width="15.140625" style="4" customWidth="1"/>
    <col min="20" max="24" width="9.140625" style="4" customWidth="1"/>
    <col min="25" max="28" width="9.140625" style="10" customWidth="1"/>
    <col min="29" max="16384" width="9.140625" style="4" customWidth="1"/>
  </cols>
  <sheetData>
    <row r="1" spans="1:28" ht="13.5">
      <c r="A1" s="134"/>
      <c r="B1" s="134"/>
      <c r="K1" s="7"/>
      <c r="L1" s="7"/>
      <c r="N1" s="4"/>
      <c r="O1" s="4"/>
      <c r="P1" s="4"/>
      <c r="Q1" s="4"/>
      <c r="Y1" s="4"/>
      <c r="Z1" s="4"/>
      <c r="AA1" s="4"/>
      <c r="AB1" s="4"/>
    </row>
    <row r="2" spans="1:28" ht="15" collapsed="1">
      <c r="A2" s="782" t="s">
        <v>637</v>
      </c>
      <c r="B2" s="135"/>
      <c r="C2" s="135"/>
      <c r="D2" s="135"/>
      <c r="E2" s="136"/>
      <c r="F2" s="136"/>
      <c r="G2" s="136"/>
      <c r="H2" s="136"/>
      <c r="I2" s="68"/>
      <c r="J2" s="136"/>
      <c r="K2" s="783"/>
      <c r="L2" s="783"/>
      <c r="N2" s="4"/>
      <c r="O2" s="784" t="s">
        <v>641</v>
      </c>
      <c r="P2" s="784"/>
      <c r="Q2" s="784"/>
      <c r="Y2" s="4"/>
      <c r="Z2" s="4"/>
      <c r="AA2" s="4"/>
      <c r="AB2" s="4"/>
    </row>
    <row r="3" spans="1:28" ht="13.5">
      <c r="A3" s="134"/>
      <c r="B3" s="134"/>
      <c r="C3" s="134"/>
      <c r="D3" s="134"/>
      <c r="E3" s="137"/>
      <c r="I3" s="137"/>
      <c r="J3" s="137"/>
      <c r="K3" s="137"/>
      <c r="L3" s="137"/>
      <c r="N3" s="4"/>
      <c r="O3" s="4"/>
      <c r="P3" s="4"/>
      <c r="Q3" s="660" t="s">
        <v>640</v>
      </c>
      <c r="Y3" s="4"/>
      <c r="Z3" s="4"/>
      <c r="AA3" s="4"/>
      <c r="AB3" s="4"/>
    </row>
    <row r="4" spans="1:28" ht="13.5">
      <c r="A4" s="650" t="s">
        <v>117</v>
      </c>
      <c r="B4" s="661" t="s">
        <v>3</v>
      </c>
      <c r="C4" s="661" t="s">
        <v>3</v>
      </c>
      <c r="D4" s="661" t="s">
        <v>3</v>
      </c>
      <c r="E4" s="661" t="s">
        <v>118</v>
      </c>
      <c r="F4" s="651" t="s">
        <v>3</v>
      </c>
      <c r="G4" s="651" t="s">
        <v>118</v>
      </c>
      <c r="H4" s="651" t="s">
        <v>118</v>
      </c>
      <c r="I4" s="651" t="s">
        <v>500</v>
      </c>
      <c r="J4" s="651" t="s">
        <v>119</v>
      </c>
      <c r="K4" s="651" t="s">
        <v>119</v>
      </c>
      <c r="L4" s="651" t="s">
        <v>119</v>
      </c>
      <c r="M4" s="651" t="s">
        <v>119</v>
      </c>
      <c r="N4" s="651" t="s">
        <v>119</v>
      </c>
      <c r="O4" s="651" t="s">
        <v>119</v>
      </c>
      <c r="P4" s="651" t="s">
        <v>119</v>
      </c>
      <c r="Q4" s="651" t="s">
        <v>119</v>
      </c>
      <c r="Y4" s="4"/>
      <c r="Z4" s="4"/>
      <c r="AA4" s="4"/>
      <c r="AB4" s="4"/>
    </row>
    <row r="5" spans="1:28" ht="14.25" thickBot="1">
      <c r="A5" s="658" t="s">
        <v>120</v>
      </c>
      <c r="B5" s="659">
        <v>39447</v>
      </c>
      <c r="C5" s="659">
        <v>39813</v>
      </c>
      <c r="D5" s="659">
        <v>40178</v>
      </c>
      <c r="E5" s="659">
        <v>40543</v>
      </c>
      <c r="F5" s="659">
        <v>40908</v>
      </c>
      <c r="G5" s="659">
        <v>41274</v>
      </c>
      <c r="H5" s="659">
        <v>41639</v>
      </c>
      <c r="I5" s="659">
        <v>42004</v>
      </c>
      <c r="J5" s="659">
        <v>42369</v>
      </c>
      <c r="K5" s="659">
        <v>42735</v>
      </c>
      <c r="L5" s="659">
        <v>43100</v>
      </c>
      <c r="M5" s="659">
        <v>43465</v>
      </c>
      <c r="N5" s="659">
        <v>43830</v>
      </c>
      <c r="O5" s="659">
        <v>44196</v>
      </c>
      <c r="P5" s="659">
        <v>44561</v>
      </c>
      <c r="Q5" s="659">
        <v>44926</v>
      </c>
      <c r="Y5" s="4"/>
      <c r="Z5" s="4"/>
      <c r="AA5" s="4"/>
      <c r="AB5" s="4"/>
    </row>
    <row r="6" spans="1:28" ht="14.25" thickTop="1">
      <c r="A6" s="177" t="s">
        <v>122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4"/>
      <c r="O6" s="4"/>
      <c r="P6" s="4"/>
      <c r="Q6" s="4"/>
      <c r="S6" s="3"/>
      <c r="T6" s="3"/>
      <c r="U6" s="3"/>
      <c r="V6" s="3"/>
      <c r="W6" s="3"/>
      <c r="X6" s="3"/>
      <c r="Y6" s="3"/>
      <c r="Z6" s="3"/>
      <c r="AA6" s="3"/>
      <c r="AB6" s="4"/>
    </row>
    <row r="7" spans="1:28" ht="13.5">
      <c r="A7" s="146" t="s">
        <v>124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N7" s="4"/>
      <c r="O7" s="4"/>
      <c r="P7" s="4"/>
      <c r="Q7" s="4"/>
      <c r="S7" s="3"/>
      <c r="T7" s="3"/>
      <c r="U7" s="3"/>
      <c r="V7" s="3"/>
      <c r="W7" s="3"/>
      <c r="X7" s="3"/>
      <c r="Y7" s="3"/>
      <c r="Z7" s="3"/>
      <c r="AA7" s="3"/>
      <c r="AB7" s="4"/>
    </row>
    <row r="8" spans="1:28" ht="13.5">
      <c r="A8" s="148" t="s">
        <v>126</v>
      </c>
      <c r="B8" s="85">
        <v>408</v>
      </c>
      <c r="C8" s="85">
        <v>28685</v>
      </c>
      <c r="D8" s="85">
        <v>29209</v>
      </c>
      <c r="E8" s="3">
        <v>29209</v>
      </c>
      <c r="F8" s="85">
        <v>39393</v>
      </c>
      <c r="G8" s="85">
        <v>39393</v>
      </c>
      <c r="H8" s="85">
        <v>39393</v>
      </c>
      <c r="I8" s="85">
        <v>40932</v>
      </c>
      <c r="J8" s="85">
        <v>44573</v>
      </c>
      <c r="K8" s="3">
        <v>44573</v>
      </c>
      <c r="L8" s="85">
        <v>44573</v>
      </c>
      <c r="M8" s="85">
        <v>44573</v>
      </c>
      <c r="N8" s="85">
        <v>44573</v>
      </c>
      <c r="O8" s="3">
        <v>44573</v>
      </c>
      <c r="P8" s="85">
        <v>44573</v>
      </c>
      <c r="Q8" s="85">
        <v>44573</v>
      </c>
      <c r="S8" s="3"/>
      <c r="T8" s="3"/>
      <c r="U8" s="3"/>
      <c r="V8" s="3"/>
      <c r="W8" s="3"/>
      <c r="X8" s="3"/>
      <c r="Y8" s="3"/>
      <c r="Z8" s="3"/>
      <c r="AA8" s="3"/>
      <c r="AB8" s="4"/>
    </row>
    <row r="9" spans="1:28" ht="13.5">
      <c r="A9" s="148" t="s">
        <v>128</v>
      </c>
      <c r="B9" s="85">
        <v>3271</v>
      </c>
      <c r="C9" s="85">
        <v>3119</v>
      </c>
      <c r="D9" s="85">
        <v>2928</v>
      </c>
      <c r="E9" s="3">
        <v>2731</v>
      </c>
      <c r="F9" s="85">
        <v>12482</v>
      </c>
      <c r="G9" s="85">
        <v>11777</v>
      </c>
      <c r="H9" s="85">
        <v>10938</v>
      </c>
      <c r="I9" s="85">
        <v>11518</v>
      </c>
      <c r="J9" s="85">
        <v>10618</v>
      </c>
      <c r="K9" s="3">
        <v>10772</v>
      </c>
      <c r="L9" s="85">
        <v>10726</v>
      </c>
      <c r="M9" s="85">
        <v>10680</v>
      </c>
      <c r="N9" s="85">
        <v>10634</v>
      </c>
      <c r="O9" s="3">
        <v>10588</v>
      </c>
      <c r="P9" s="85">
        <v>10542</v>
      </c>
      <c r="Q9" s="85">
        <v>10496</v>
      </c>
      <c r="S9" s="3"/>
      <c r="T9" s="3"/>
      <c r="U9" s="3"/>
      <c r="V9" s="3"/>
      <c r="W9" s="3"/>
      <c r="X9" s="3"/>
      <c r="Y9" s="3"/>
      <c r="Z9" s="3"/>
      <c r="AA9" s="3"/>
      <c r="AB9" s="4"/>
    </row>
    <row r="10" spans="1:28" ht="13.5">
      <c r="A10" s="148" t="s">
        <v>129</v>
      </c>
      <c r="B10" s="85">
        <v>2330</v>
      </c>
      <c r="C10" s="85">
        <v>2057</v>
      </c>
      <c r="D10" s="85">
        <v>2305</v>
      </c>
      <c r="E10" s="3">
        <v>1946</v>
      </c>
      <c r="F10" s="85">
        <v>3034</v>
      </c>
      <c r="G10" s="85">
        <v>2517</v>
      </c>
      <c r="H10" s="85">
        <v>2152</v>
      </c>
      <c r="I10" s="85">
        <v>2150</v>
      </c>
      <c r="J10" s="85">
        <v>1682</v>
      </c>
      <c r="K10" s="3">
        <v>6982</v>
      </c>
      <c r="L10" s="85">
        <v>10692</v>
      </c>
      <c r="M10" s="85">
        <v>14402</v>
      </c>
      <c r="N10" s="85">
        <v>18112</v>
      </c>
      <c r="O10" s="3">
        <v>19322</v>
      </c>
      <c r="P10" s="85">
        <v>19032</v>
      </c>
      <c r="Q10" s="85">
        <v>18742</v>
      </c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1:28" ht="13.5">
      <c r="A11" s="148" t="s">
        <v>131</v>
      </c>
      <c r="B11" s="85">
        <v>5196</v>
      </c>
      <c r="C11" s="85">
        <v>5107</v>
      </c>
      <c r="D11" s="85">
        <v>4780</v>
      </c>
      <c r="E11" s="3">
        <v>4453</v>
      </c>
      <c r="F11" s="85">
        <v>8338</v>
      </c>
      <c r="G11" s="85">
        <v>7885</v>
      </c>
      <c r="H11" s="85">
        <v>7253</v>
      </c>
      <c r="I11" s="85">
        <v>7000</v>
      </c>
      <c r="J11" s="85">
        <v>6628</v>
      </c>
      <c r="K11" s="3">
        <v>6403</v>
      </c>
      <c r="L11" s="85">
        <v>6178</v>
      </c>
      <c r="M11" s="85">
        <v>5953</v>
      </c>
      <c r="N11" s="85">
        <v>5728</v>
      </c>
      <c r="O11" s="3">
        <v>5503</v>
      </c>
      <c r="P11" s="85">
        <v>5278</v>
      </c>
      <c r="Q11" s="85">
        <v>5053</v>
      </c>
      <c r="S11" s="85"/>
      <c r="T11" s="3"/>
      <c r="U11" s="3"/>
      <c r="V11" s="3"/>
      <c r="X11" s="3"/>
      <c r="Y11" s="3"/>
      <c r="Z11" s="3"/>
      <c r="AA11" s="3"/>
      <c r="AB11" s="4"/>
    </row>
    <row r="12" spans="1:28" ht="13.5">
      <c r="A12" s="148" t="s">
        <v>132</v>
      </c>
      <c r="B12" s="85">
        <v>147</v>
      </c>
      <c r="C12" s="85">
        <v>120</v>
      </c>
      <c r="D12" s="85">
        <v>97</v>
      </c>
      <c r="E12" s="85">
        <v>75</v>
      </c>
      <c r="F12" s="85">
        <v>381751</v>
      </c>
      <c r="G12" s="85">
        <v>322926</v>
      </c>
      <c r="H12" s="85">
        <v>328469</v>
      </c>
      <c r="I12" s="85">
        <v>256964</v>
      </c>
      <c r="J12" s="85">
        <v>390374</v>
      </c>
      <c r="K12" s="85">
        <v>372565</v>
      </c>
      <c r="L12" s="85">
        <v>347351</v>
      </c>
      <c r="M12" s="85">
        <v>318761</v>
      </c>
      <c r="N12" s="85">
        <v>442362</v>
      </c>
      <c r="O12" s="3">
        <v>484997</v>
      </c>
      <c r="P12" s="85">
        <v>500695</v>
      </c>
      <c r="Q12" s="85">
        <v>483167</v>
      </c>
      <c r="S12" s="3"/>
      <c r="T12" s="5"/>
      <c r="U12" s="5"/>
      <c r="V12" s="5"/>
      <c r="Y12" s="4"/>
      <c r="Z12" s="4"/>
      <c r="AA12" s="4"/>
      <c r="AB12" s="4"/>
    </row>
    <row r="13" spans="1:28" ht="13.5">
      <c r="A13" s="148" t="s">
        <v>133</v>
      </c>
      <c r="B13" s="85">
        <v>347</v>
      </c>
      <c r="C13" s="85">
        <v>312</v>
      </c>
      <c r="D13" s="85">
        <v>230</v>
      </c>
      <c r="E13" s="3">
        <v>148</v>
      </c>
      <c r="F13" s="85">
        <v>145</v>
      </c>
      <c r="G13" s="85">
        <v>94</v>
      </c>
      <c r="H13" s="85">
        <v>68</v>
      </c>
      <c r="I13" s="85">
        <v>77</v>
      </c>
      <c r="J13" s="85">
        <v>32</v>
      </c>
      <c r="K13" s="3">
        <v>32</v>
      </c>
      <c r="L13" s="85">
        <v>32</v>
      </c>
      <c r="M13" s="85">
        <v>32</v>
      </c>
      <c r="N13" s="85">
        <v>32</v>
      </c>
      <c r="O13" s="3">
        <v>32</v>
      </c>
      <c r="P13" s="85">
        <v>32</v>
      </c>
      <c r="Q13" s="85">
        <v>32</v>
      </c>
      <c r="S13" s="64"/>
      <c r="T13" s="18"/>
      <c r="U13" s="64"/>
      <c r="V13" s="64"/>
      <c r="X13" s="18"/>
      <c r="Y13" s="4"/>
      <c r="Z13" s="4"/>
      <c r="AA13" s="4"/>
      <c r="AB13" s="4"/>
    </row>
    <row r="14" spans="1:28" ht="13.5">
      <c r="A14" s="148" t="s">
        <v>134</v>
      </c>
      <c r="B14" s="85">
        <v>8</v>
      </c>
      <c r="C14" s="85">
        <v>22</v>
      </c>
      <c r="D14" s="85">
        <v>5</v>
      </c>
      <c r="E14" s="3">
        <v>20021</v>
      </c>
      <c r="F14" s="85">
        <v>43044</v>
      </c>
      <c r="G14" s="85">
        <v>62760</v>
      </c>
      <c r="H14" s="85">
        <v>3212</v>
      </c>
      <c r="I14" s="85">
        <v>10992</v>
      </c>
      <c r="J14" s="85">
        <v>28418</v>
      </c>
      <c r="K14" s="3">
        <v>28418</v>
      </c>
      <c r="L14" s="85">
        <v>28418</v>
      </c>
      <c r="M14" s="85">
        <v>28418</v>
      </c>
      <c r="N14" s="85">
        <v>28418</v>
      </c>
      <c r="O14" s="3">
        <v>28418</v>
      </c>
      <c r="P14" s="85">
        <v>28418</v>
      </c>
      <c r="Q14" s="85">
        <v>28418</v>
      </c>
      <c r="S14" s="18"/>
      <c r="T14" s="3"/>
      <c r="U14" s="3"/>
      <c r="V14" s="3"/>
      <c r="X14" s="407"/>
      <c r="Y14" s="4"/>
      <c r="Z14" s="4"/>
      <c r="AA14" s="4"/>
      <c r="AB14" s="4"/>
    </row>
    <row r="15" spans="1:28" ht="13.5">
      <c r="A15" s="150" t="s">
        <v>135</v>
      </c>
      <c r="B15" s="6">
        <v>11707</v>
      </c>
      <c r="C15" s="6">
        <v>39422</v>
      </c>
      <c r="D15" s="332">
        <v>39554</v>
      </c>
      <c r="E15" s="6">
        <v>58583</v>
      </c>
      <c r="F15" s="6">
        <v>488187</v>
      </c>
      <c r="G15" s="6">
        <v>447352</v>
      </c>
      <c r="H15" s="6">
        <v>391485</v>
      </c>
      <c r="I15" s="6">
        <v>329633</v>
      </c>
      <c r="J15" s="332">
        <v>482325</v>
      </c>
      <c r="K15" s="6">
        <v>469745</v>
      </c>
      <c r="L15" s="6">
        <v>447970</v>
      </c>
      <c r="M15" s="6">
        <v>422819</v>
      </c>
      <c r="N15" s="332">
        <v>549859</v>
      </c>
      <c r="O15" s="6">
        <v>593433</v>
      </c>
      <c r="P15" s="6">
        <v>608570</v>
      </c>
      <c r="Q15" s="6">
        <v>590481</v>
      </c>
      <c r="S15" s="64"/>
      <c r="T15" s="3"/>
      <c r="U15" s="3"/>
      <c r="V15" s="3"/>
      <c r="X15" s="407"/>
      <c r="Y15" s="4"/>
      <c r="Z15" s="4"/>
      <c r="AA15" s="4"/>
      <c r="AB15" s="4"/>
    </row>
    <row r="16" spans="1:28" ht="13.5">
      <c r="A16" s="152" t="s">
        <v>136</v>
      </c>
      <c r="B16" s="85"/>
      <c r="C16" s="85"/>
      <c r="D16" s="630"/>
      <c r="E16" s="3"/>
      <c r="F16" s="85"/>
      <c r="G16" s="85"/>
      <c r="H16" s="85"/>
      <c r="I16" s="85"/>
      <c r="J16" s="630"/>
      <c r="K16" s="3"/>
      <c r="L16" s="85"/>
      <c r="M16" s="85"/>
      <c r="N16" s="630"/>
      <c r="O16" s="3"/>
      <c r="P16" s="85"/>
      <c r="Q16" s="85"/>
      <c r="X16" s="408"/>
      <c r="Y16" s="4"/>
      <c r="Z16" s="4"/>
      <c r="AA16" s="4"/>
      <c r="AB16" s="4"/>
    </row>
    <row r="17" spans="1:28" ht="13.5">
      <c r="A17" s="148" t="s">
        <v>137</v>
      </c>
      <c r="B17" s="85"/>
      <c r="C17" s="85">
        <v>25</v>
      </c>
      <c r="D17" s="85">
        <v>25</v>
      </c>
      <c r="E17" s="3">
        <v>25</v>
      </c>
      <c r="F17" s="85">
        <v>42</v>
      </c>
      <c r="G17" s="85">
        <v>150</v>
      </c>
      <c r="H17" s="85">
        <v>96</v>
      </c>
      <c r="I17" s="85">
        <v>80</v>
      </c>
      <c r="J17" s="85">
        <v>80</v>
      </c>
      <c r="K17" s="3">
        <v>80</v>
      </c>
      <c r="L17" s="85">
        <v>80</v>
      </c>
      <c r="M17" s="85">
        <v>80</v>
      </c>
      <c r="N17" s="85">
        <v>80</v>
      </c>
      <c r="O17" s="3">
        <v>80</v>
      </c>
      <c r="P17" s="85">
        <v>80</v>
      </c>
      <c r="Q17" s="85">
        <v>80</v>
      </c>
      <c r="S17" s="18"/>
      <c r="X17" s="408"/>
      <c r="Y17" s="4"/>
      <c r="Z17" s="4"/>
      <c r="AA17" s="4"/>
      <c r="AB17" s="4"/>
    </row>
    <row r="18" spans="1:28" ht="13.5">
      <c r="A18" s="148" t="s">
        <v>138</v>
      </c>
      <c r="B18" s="85">
        <v>211</v>
      </c>
      <c r="C18" s="85">
        <v>195</v>
      </c>
      <c r="D18" s="85">
        <v>149</v>
      </c>
      <c r="E18" s="3">
        <v>37</v>
      </c>
      <c r="F18" s="85">
        <v>55</v>
      </c>
      <c r="G18" s="85">
        <v>62</v>
      </c>
      <c r="H18" s="85">
        <v>111</v>
      </c>
      <c r="I18" s="85">
        <v>77</v>
      </c>
      <c r="J18" s="85">
        <v>77</v>
      </c>
      <c r="K18" s="3">
        <v>1077</v>
      </c>
      <c r="L18" s="85">
        <v>2077</v>
      </c>
      <c r="M18" s="85">
        <v>3077</v>
      </c>
      <c r="N18" s="85">
        <v>3577</v>
      </c>
      <c r="O18" s="3">
        <v>4077</v>
      </c>
      <c r="P18" s="85">
        <v>4577</v>
      </c>
      <c r="Q18" s="85">
        <v>5077</v>
      </c>
      <c r="Y18" s="4"/>
      <c r="Z18" s="4"/>
      <c r="AA18" s="4"/>
      <c r="AB18" s="4"/>
    </row>
    <row r="19" spans="1:28" ht="13.5">
      <c r="A19" s="153" t="s">
        <v>139</v>
      </c>
      <c r="B19" s="85"/>
      <c r="C19" s="85"/>
      <c r="D19" s="85"/>
      <c r="E19" s="3"/>
      <c r="F19" s="85">
        <v>170</v>
      </c>
      <c r="G19" s="85">
        <v>0</v>
      </c>
      <c r="H19" s="85">
        <v>0</v>
      </c>
      <c r="I19" s="85">
        <v>0</v>
      </c>
      <c r="J19" s="85">
        <v>0</v>
      </c>
      <c r="K19" s="3">
        <v>0</v>
      </c>
      <c r="L19" s="85">
        <v>0</v>
      </c>
      <c r="M19" s="85">
        <v>0</v>
      </c>
      <c r="N19" s="85">
        <v>0</v>
      </c>
      <c r="O19" s="3">
        <v>0</v>
      </c>
      <c r="P19" s="85">
        <v>0</v>
      </c>
      <c r="Q19" s="85">
        <v>0</v>
      </c>
      <c r="Y19" s="4"/>
      <c r="Z19" s="4"/>
      <c r="AA19" s="4"/>
      <c r="AB19" s="4"/>
    </row>
    <row r="20" spans="1:28" ht="13.5">
      <c r="A20" s="153" t="s">
        <v>140</v>
      </c>
      <c r="B20" s="85">
        <v>6</v>
      </c>
      <c r="C20" s="85">
        <v>3</v>
      </c>
      <c r="D20" s="85">
        <v>1</v>
      </c>
      <c r="E20" s="3"/>
      <c r="F20" s="85"/>
      <c r="G20" s="85">
        <v>0</v>
      </c>
      <c r="H20" s="85">
        <v>0</v>
      </c>
      <c r="I20" s="85">
        <v>0</v>
      </c>
      <c r="J20" s="85">
        <v>0</v>
      </c>
      <c r="K20" s="3">
        <v>0</v>
      </c>
      <c r="L20" s="85">
        <v>0</v>
      </c>
      <c r="M20" s="85">
        <v>0</v>
      </c>
      <c r="N20" s="85">
        <v>0</v>
      </c>
      <c r="O20" s="3">
        <v>0</v>
      </c>
      <c r="P20" s="85">
        <v>0</v>
      </c>
      <c r="Q20" s="85">
        <v>0</v>
      </c>
      <c r="Y20" s="4"/>
      <c r="Z20" s="4"/>
      <c r="AA20" s="4"/>
      <c r="AB20" s="4"/>
    </row>
    <row r="21" spans="1:28" ht="13.5">
      <c r="A21" s="154" t="s">
        <v>141</v>
      </c>
      <c r="B21" s="6">
        <v>217</v>
      </c>
      <c r="C21" s="6">
        <v>223</v>
      </c>
      <c r="D21" s="332">
        <v>175</v>
      </c>
      <c r="E21" s="6">
        <v>62</v>
      </c>
      <c r="F21" s="6">
        <v>267</v>
      </c>
      <c r="G21" s="6">
        <v>212</v>
      </c>
      <c r="H21" s="6">
        <v>207</v>
      </c>
      <c r="I21" s="6">
        <v>157</v>
      </c>
      <c r="J21" s="332">
        <v>157</v>
      </c>
      <c r="K21" s="6">
        <v>1157</v>
      </c>
      <c r="L21" s="6">
        <v>2157</v>
      </c>
      <c r="M21" s="6">
        <v>3157</v>
      </c>
      <c r="N21" s="332">
        <v>3657</v>
      </c>
      <c r="O21" s="6">
        <v>4157</v>
      </c>
      <c r="P21" s="6">
        <v>4657</v>
      </c>
      <c r="Q21" s="6">
        <v>5157</v>
      </c>
      <c r="Y21" s="4"/>
      <c r="Z21" s="4"/>
      <c r="AA21" s="4"/>
      <c r="AB21" s="4"/>
    </row>
    <row r="22" spans="1:28" ht="13.5">
      <c r="A22" s="146" t="s">
        <v>142</v>
      </c>
      <c r="B22" s="85"/>
      <c r="C22" s="85"/>
      <c r="D22" s="85"/>
      <c r="E22" s="3"/>
      <c r="F22" s="85"/>
      <c r="G22" s="85"/>
      <c r="H22" s="85"/>
      <c r="I22" s="85"/>
      <c r="J22" s="85"/>
      <c r="K22" s="3"/>
      <c r="L22" s="85"/>
      <c r="M22" s="85"/>
      <c r="N22" s="85"/>
      <c r="O22" s="3"/>
      <c r="P22" s="85"/>
      <c r="Q22" s="85"/>
      <c r="Y22" s="4"/>
      <c r="Z22" s="4"/>
      <c r="AA22" s="4"/>
      <c r="AB22" s="4"/>
    </row>
    <row r="23" spans="1:28" ht="13.5">
      <c r="A23" s="148" t="s">
        <v>143</v>
      </c>
      <c r="B23" s="85"/>
      <c r="C23" s="85"/>
      <c r="D23" s="85">
        <v>26</v>
      </c>
      <c r="E23" s="3">
        <v>26</v>
      </c>
      <c r="F23" s="85">
        <v>50</v>
      </c>
      <c r="G23" s="85">
        <v>50</v>
      </c>
      <c r="H23" s="85">
        <v>50</v>
      </c>
      <c r="I23" s="85">
        <v>50</v>
      </c>
      <c r="J23" s="85">
        <v>50</v>
      </c>
      <c r="K23" s="3">
        <v>50</v>
      </c>
      <c r="L23" s="85">
        <v>50</v>
      </c>
      <c r="M23" s="85">
        <v>50</v>
      </c>
      <c r="N23" s="85">
        <v>50</v>
      </c>
      <c r="O23" s="3">
        <v>50</v>
      </c>
      <c r="P23" s="85">
        <v>50</v>
      </c>
      <c r="Q23" s="85">
        <v>50</v>
      </c>
      <c r="Y23" s="4"/>
      <c r="Z23" s="4"/>
      <c r="AA23" s="4"/>
      <c r="AB23" s="4"/>
    </row>
    <row r="24" spans="1:28" ht="13.5">
      <c r="A24" s="148" t="s">
        <v>144</v>
      </c>
      <c r="B24" s="85"/>
      <c r="C24" s="85"/>
      <c r="D24" s="85">
        <v>26</v>
      </c>
      <c r="E24" s="3">
        <v>26</v>
      </c>
      <c r="F24" s="85">
        <v>26</v>
      </c>
      <c r="G24" s="85">
        <v>26</v>
      </c>
      <c r="H24" s="85">
        <v>26</v>
      </c>
      <c r="I24" s="85">
        <v>26</v>
      </c>
      <c r="J24" s="85">
        <v>26</v>
      </c>
      <c r="K24" s="3">
        <v>26</v>
      </c>
      <c r="L24" s="85">
        <v>26</v>
      </c>
      <c r="M24" s="85">
        <v>26</v>
      </c>
      <c r="N24" s="85">
        <v>26</v>
      </c>
      <c r="O24" s="3">
        <v>26</v>
      </c>
      <c r="P24" s="85">
        <v>26</v>
      </c>
      <c r="Q24" s="85">
        <v>26</v>
      </c>
      <c r="Y24" s="4"/>
      <c r="Z24" s="4"/>
      <c r="AA24" s="4"/>
      <c r="AB24" s="4"/>
    </row>
    <row r="25" spans="1:28" ht="13.5">
      <c r="A25" s="148" t="s">
        <v>145</v>
      </c>
      <c r="B25" s="85"/>
      <c r="C25" s="85"/>
      <c r="D25" s="85"/>
      <c r="E25" s="3"/>
      <c r="F25" s="85">
        <v>24</v>
      </c>
      <c r="G25" s="85">
        <v>24</v>
      </c>
      <c r="H25" s="85">
        <v>24</v>
      </c>
      <c r="I25" s="85">
        <v>24</v>
      </c>
      <c r="J25" s="85">
        <v>24</v>
      </c>
      <c r="K25" s="3">
        <v>24</v>
      </c>
      <c r="L25" s="85">
        <v>24</v>
      </c>
      <c r="M25" s="85">
        <v>24</v>
      </c>
      <c r="N25" s="85">
        <v>24</v>
      </c>
      <c r="O25" s="3">
        <v>24</v>
      </c>
      <c r="P25" s="85">
        <v>24</v>
      </c>
      <c r="Q25" s="85">
        <v>24</v>
      </c>
      <c r="Y25" s="4"/>
      <c r="Z25" s="4"/>
      <c r="AA25" s="4"/>
      <c r="AB25" s="4"/>
    </row>
    <row r="26" spans="1:28" ht="13.5">
      <c r="A26" s="148" t="s">
        <v>146</v>
      </c>
      <c r="B26" s="85"/>
      <c r="C26" s="85"/>
      <c r="D26" s="85"/>
      <c r="E26" s="3"/>
      <c r="F26" s="85">
        <v>24</v>
      </c>
      <c r="G26" s="85">
        <v>24</v>
      </c>
      <c r="H26" s="85">
        <v>24</v>
      </c>
      <c r="I26" s="85">
        <v>24</v>
      </c>
      <c r="J26" s="85">
        <v>24</v>
      </c>
      <c r="K26" s="3">
        <v>24</v>
      </c>
      <c r="L26" s="85">
        <v>24</v>
      </c>
      <c r="M26" s="85">
        <v>24</v>
      </c>
      <c r="N26" s="85">
        <v>24</v>
      </c>
      <c r="O26" s="3">
        <v>24</v>
      </c>
      <c r="P26" s="85">
        <v>24</v>
      </c>
      <c r="Q26" s="85">
        <v>24</v>
      </c>
      <c r="S26" s="3"/>
      <c r="T26" s="5"/>
      <c r="U26" s="5"/>
      <c r="V26" s="5"/>
      <c r="W26" s="5"/>
      <c r="X26" s="5"/>
      <c r="Y26" s="5"/>
      <c r="Z26" s="5"/>
      <c r="AA26" s="5"/>
      <c r="AB26" s="4"/>
    </row>
    <row r="27" spans="1:28" ht="13.5">
      <c r="A27" s="148" t="s">
        <v>147</v>
      </c>
      <c r="B27" s="3"/>
      <c r="C27" s="3"/>
      <c r="D27" s="85"/>
      <c r="E27" s="3"/>
      <c r="F27" s="3"/>
      <c r="G27" s="3"/>
      <c r="H27" s="3"/>
      <c r="I27" s="3"/>
      <c r="J27" s="85"/>
      <c r="K27" s="3"/>
      <c r="L27" s="3"/>
      <c r="M27" s="3"/>
      <c r="N27" s="85"/>
      <c r="O27" s="3"/>
      <c r="P27" s="3"/>
      <c r="Q27" s="3"/>
      <c r="S27" s="3"/>
      <c r="T27" s="5"/>
      <c r="U27" s="5"/>
      <c r="V27" s="5"/>
      <c r="W27" s="5"/>
      <c r="X27" s="5"/>
      <c r="Y27" s="5"/>
      <c r="Z27" s="5"/>
      <c r="AA27" s="5"/>
      <c r="AB27" s="4"/>
    </row>
    <row r="28" spans="1:28" ht="13.5">
      <c r="A28" s="148" t="s">
        <v>148</v>
      </c>
      <c r="B28" s="3"/>
      <c r="C28" s="3"/>
      <c r="D28" s="85"/>
      <c r="E28" s="3"/>
      <c r="F28" s="3"/>
      <c r="G28" s="3"/>
      <c r="H28" s="3"/>
      <c r="I28" s="3"/>
      <c r="J28" s="85"/>
      <c r="K28" s="3"/>
      <c r="L28" s="3"/>
      <c r="M28" s="3"/>
      <c r="N28" s="85"/>
      <c r="O28" s="3"/>
      <c r="P28" s="3"/>
      <c r="Q28" s="3"/>
      <c r="S28" s="3"/>
      <c r="T28" s="5"/>
      <c r="U28" s="5"/>
      <c r="V28" s="5"/>
      <c r="W28" s="5"/>
      <c r="X28" s="5"/>
      <c r="Y28" s="5"/>
      <c r="Z28" s="5"/>
      <c r="AA28" s="5"/>
      <c r="AB28" s="4"/>
    </row>
    <row r="29" spans="1:28" ht="13.5">
      <c r="A29" s="148" t="s">
        <v>149</v>
      </c>
      <c r="B29" s="3"/>
      <c r="C29" s="3"/>
      <c r="D29" s="85"/>
      <c r="E29" s="3"/>
      <c r="F29" s="3"/>
      <c r="G29" s="3"/>
      <c r="H29" s="3"/>
      <c r="I29" s="3"/>
      <c r="J29" s="85"/>
      <c r="K29" s="3"/>
      <c r="L29" s="3"/>
      <c r="M29" s="3"/>
      <c r="N29" s="85"/>
      <c r="O29" s="3"/>
      <c r="P29" s="3"/>
      <c r="Q29" s="3"/>
      <c r="S29" s="3"/>
      <c r="T29" s="5"/>
      <c r="U29" s="5"/>
      <c r="V29" s="5"/>
      <c r="W29" s="5"/>
      <c r="X29" s="5"/>
      <c r="Y29" s="5"/>
      <c r="Z29" s="5"/>
      <c r="AA29" s="5"/>
      <c r="AB29" s="4"/>
    </row>
    <row r="30" spans="1:28" ht="13.5">
      <c r="A30" s="148" t="s">
        <v>150</v>
      </c>
      <c r="B30" s="3"/>
      <c r="C30" s="3"/>
      <c r="D30" s="85"/>
      <c r="E30" s="3">
        <v>0</v>
      </c>
      <c r="F30" s="3"/>
      <c r="G30" s="3">
        <v>0</v>
      </c>
      <c r="H30" s="3">
        <v>0</v>
      </c>
      <c r="I30" s="3">
        <v>13963</v>
      </c>
      <c r="J30" s="85">
        <v>12523</v>
      </c>
      <c r="K30" s="3">
        <v>11083</v>
      </c>
      <c r="L30" s="3">
        <v>9643</v>
      </c>
      <c r="M30" s="3">
        <v>8203</v>
      </c>
      <c r="N30" s="85">
        <v>6763</v>
      </c>
      <c r="O30" s="3">
        <v>5323</v>
      </c>
      <c r="P30" s="3">
        <v>3883</v>
      </c>
      <c r="Q30" s="3">
        <v>2443</v>
      </c>
      <c r="S30" s="3"/>
      <c r="T30" s="5"/>
      <c r="U30" s="5"/>
      <c r="V30" s="5"/>
      <c r="W30" s="5"/>
      <c r="X30" s="5"/>
      <c r="Y30" s="5"/>
      <c r="Z30" s="5"/>
      <c r="AA30" s="5"/>
      <c r="AB30" s="4"/>
    </row>
    <row r="31" spans="1:28" ht="13.5">
      <c r="A31" s="148" t="s">
        <v>151</v>
      </c>
      <c r="B31" s="3"/>
      <c r="C31" s="3"/>
      <c r="D31" s="85"/>
      <c r="E31" s="3"/>
      <c r="F31" s="3"/>
      <c r="G31" s="3"/>
      <c r="H31" s="3"/>
      <c r="I31" s="3">
        <v>13963</v>
      </c>
      <c r="J31" s="85">
        <v>12523</v>
      </c>
      <c r="K31" s="3">
        <v>11083</v>
      </c>
      <c r="L31" s="3">
        <v>9643</v>
      </c>
      <c r="M31" s="3">
        <v>8203</v>
      </c>
      <c r="N31" s="85">
        <v>6763</v>
      </c>
      <c r="O31" s="3">
        <v>5323</v>
      </c>
      <c r="P31" s="3">
        <v>3883</v>
      </c>
      <c r="Q31" s="3">
        <v>2443</v>
      </c>
      <c r="S31" s="85"/>
      <c r="T31" s="5"/>
      <c r="U31" s="5"/>
      <c r="V31" s="5"/>
      <c r="W31" s="5"/>
      <c r="X31" s="5"/>
      <c r="Y31" s="5"/>
      <c r="Z31" s="5"/>
      <c r="AA31" s="5"/>
      <c r="AB31" s="4"/>
    </row>
    <row r="32" spans="1:28" ht="13.5">
      <c r="A32" s="148" t="s">
        <v>152</v>
      </c>
      <c r="B32" s="3"/>
      <c r="C32" s="3"/>
      <c r="D32" s="85"/>
      <c r="E32" s="3"/>
      <c r="F32" s="3"/>
      <c r="G32" s="3"/>
      <c r="H32" s="3"/>
      <c r="I32" s="3"/>
      <c r="J32" s="85"/>
      <c r="K32" s="3"/>
      <c r="L32" s="3"/>
      <c r="M32" s="3"/>
      <c r="N32" s="85"/>
      <c r="O32" s="3"/>
      <c r="P32" s="3"/>
      <c r="Q32" s="3"/>
      <c r="Y32" s="4"/>
      <c r="Z32" s="4"/>
      <c r="AA32" s="4"/>
      <c r="AB32" s="4"/>
    </row>
    <row r="33" spans="1:28" ht="13.5">
      <c r="A33" s="148" t="s">
        <v>153</v>
      </c>
      <c r="B33" s="3"/>
      <c r="C33" s="3"/>
      <c r="D33" s="85"/>
      <c r="E33" s="3"/>
      <c r="F33" s="3"/>
      <c r="G33" s="3"/>
      <c r="H33" s="3"/>
      <c r="I33" s="3"/>
      <c r="J33" s="85"/>
      <c r="K33" s="3"/>
      <c r="L33" s="3"/>
      <c r="M33" s="3"/>
      <c r="N33" s="85"/>
      <c r="O33" s="3"/>
      <c r="P33" s="3"/>
      <c r="Q33" s="3"/>
      <c r="Y33" s="4"/>
      <c r="Z33" s="4"/>
      <c r="AA33" s="4"/>
      <c r="AB33" s="4"/>
    </row>
    <row r="34" spans="1:28" ht="13.5">
      <c r="A34" s="150" t="s">
        <v>154</v>
      </c>
      <c r="B34" s="156">
        <v>0</v>
      </c>
      <c r="C34" s="156">
        <v>0</v>
      </c>
      <c r="D34" s="331">
        <v>26</v>
      </c>
      <c r="E34" s="156">
        <v>26</v>
      </c>
      <c r="F34" s="156">
        <v>50</v>
      </c>
      <c r="G34" s="156">
        <v>50</v>
      </c>
      <c r="H34" s="156">
        <v>50</v>
      </c>
      <c r="I34" s="156">
        <v>14013</v>
      </c>
      <c r="J34" s="331">
        <v>12573</v>
      </c>
      <c r="K34" s="156">
        <v>11133</v>
      </c>
      <c r="L34" s="156">
        <v>9693</v>
      </c>
      <c r="M34" s="156">
        <v>8253</v>
      </c>
      <c r="N34" s="331">
        <v>6813</v>
      </c>
      <c r="O34" s="156">
        <v>5373</v>
      </c>
      <c r="P34" s="156">
        <v>3933</v>
      </c>
      <c r="Q34" s="156">
        <v>2493</v>
      </c>
      <c r="Y34" s="4"/>
      <c r="Z34" s="4"/>
      <c r="AA34" s="4"/>
      <c r="AB34" s="4"/>
    </row>
    <row r="35" spans="1:28" ht="13.5">
      <c r="A35" s="146" t="s">
        <v>155</v>
      </c>
      <c r="B35" s="3"/>
      <c r="C35" s="3"/>
      <c r="D35" s="85"/>
      <c r="E35" s="3"/>
      <c r="F35" s="3"/>
      <c r="G35" s="3"/>
      <c r="H35" s="3"/>
      <c r="I35" s="3"/>
      <c r="J35" s="85"/>
      <c r="K35" s="3"/>
      <c r="L35" s="3"/>
      <c r="M35" s="3"/>
      <c r="N35" s="85"/>
      <c r="O35" s="3"/>
      <c r="P35" s="3"/>
      <c r="Q35" s="3"/>
      <c r="Y35" s="4"/>
      <c r="Z35" s="4"/>
      <c r="AA35" s="4"/>
      <c r="AB35" s="4"/>
    </row>
    <row r="36" spans="1:28" ht="13.5">
      <c r="A36" s="148" t="s">
        <v>156</v>
      </c>
      <c r="B36" s="3"/>
      <c r="C36" s="3"/>
      <c r="D36" s="85"/>
      <c r="E36" s="3"/>
      <c r="F36" s="3"/>
      <c r="G36" s="3"/>
      <c r="H36" s="3"/>
      <c r="I36" s="3"/>
      <c r="J36" s="85"/>
      <c r="K36" s="3"/>
      <c r="L36" s="3"/>
      <c r="M36" s="3"/>
      <c r="N36" s="85"/>
      <c r="O36" s="3"/>
      <c r="P36" s="3"/>
      <c r="Q36" s="3"/>
      <c r="Y36" s="4"/>
      <c r="Z36" s="4"/>
      <c r="AA36" s="4"/>
      <c r="AB36" s="4"/>
    </row>
    <row r="37" spans="1:28" ht="13.5">
      <c r="A37" s="148" t="s">
        <v>157</v>
      </c>
      <c r="B37" s="3"/>
      <c r="C37" s="3"/>
      <c r="D37" s="85"/>
      <c r="E37" s="3"/>
      <c r="F37" s="3"/>
      <c r="G37" s="3"/>
      <c r="H37" s="3"/>
      <c r="I37" s="3"/>
      <c r="J37" s="85"/>
      <c r="K37" s="3"/>
      <c r="L37" s="3"/>
      <c r="M37" s="3"/>
      <c r="N37" s="85"/>
      <c r="O37" s="3"/>
      <c r="P37" s="3"/>
      <c r="Q37" s="3"/>
      <c r="Y37" s="4"/>
      <c r="Z37" s="4"/>
      <c r="AA37" s="4"/>
      <c r="AB37" s="4"/>
    </row>
    <row r="38" spans="1:28" ht="13.5">
      <c r="A38" s="150" t="s">
        <v>158</v>
      </c>
      <c r="B38" s="3">
        <v>0</v>
      </c>
      <c r="C38" s="3">
        <v>0</v>
      </c>
      <c r="D38" s="85"/>
      <c r="E38" s="3"/>
      <c r="F38" s="3">
        <v>0</v>
      </c>
      <c r="G38" s="3">
        <v>0</v>
      </c>
      <c r="H38" s="3">
        <v>0</v>
      </c>
      <c r="I38" s="3">
        <v>0</v>
      </c>
      <c r="J38" s="85">
        <v>0</v>
      </c>
      <c r="K38" s="3">
        <v>0</v>
      </c>
      <c r="L38" s="3">
        <v>0</v>
      </c>
      <c r="M38" s="3">
        <v>0</v>
      </c>
      <c r="N38" s="85">
        <v>0</v>
      </c>
      <c r="O38" s="3">
        <v>0</v>
      </c>
      <c r="P38" s="3">
        <v>0</v>
      </c>
      <c r="Q38" s="3">
        <v>0</v>
      </c>
      <c r="Y38" s="4"/>
      <c r="Z38" s="4"/>
      <c r="AA38" s="4"/>
      <c r="AB38" s="4"/>
    </row>
    <row r="39" spans="1:28" ht="13.5">
      <c r="A39" s="152" t="s">
        <v>159</v>
      </c>
      <c r="B39" s="3"/>
      <c r="C39" s="3"/>
      <c r="D39" s="85"/>
      <c r="E39" s="3"/>
      <c r="F39" s="3"/>
      <c r="G39" s="3"/>
      <c r="H39" s="3"/>
      <c r="I39" s="3"/>
      <c r="J39" s="85"/>
      <c r="K39" s="3"/>
      <c r="L39" s="3"/>
      <c r="M39" s="3"/>
      <c r="N39" s="85"/>
      <c r="O39" s="3"/>
      <c r="P39" s="3"/>
      <c r="Q39" s="3"/>
      <c r="Y39" s="4"/>
      <c r="Z39" s="4"/>
      <c r="AA39" s="4"/>
      <c r="AB39" s="4"/>
    </row>
    <row r="40" spans="1:28" ht="13.5">
      <c r="A40" s="150" t="s">
        <v>160</v>
      </c>
      <c r="B40" s="3">
        <v>0</v>
      </c>
      <c r="C40" s="3">
        <v>0</v>
      </c>
      <c r="D40" s="85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85">
        <v>0</v>
      </c>
      <c r="K40" s="3">
        <v>0</v>
      </c>
      <c r="L40" s="3">
        <v>0</v>
      </c>
      <c r="M40" s="3">
        <v>0</v>
      </c>
      <c r="N40" s="85">
        <v>0</v>
      </c>
      <c r="O40" s="3">
        <v>0</v>
      </c>
      <c r="P40" s="3">
        <v>0</v>
      </c>
      <c r="Q40" s="3">
        <v>0</v>
      </c>
      <c r="Y40" s="4"/>
      <c r="Z40" s="4"/>
      <c r="AA40" s="4"/>
      <c r="AB40" s="4"/>
    </row>
    <row r="41" spans="1:28" ht="13.5">
      <c r="A41" s="158" t="s">
        <v>161</v>
      </c>
      <c r="B41" s="6">
        <v>11924</v>
      </c>
      <c r="C41" s="6">
        <v>39645</v>
      </c>
      <c r="D41" s="332">
        <v>39755</v>
      </c>
      <c r="E41" s="6">
        <v>58671</v>
      </c>
      <c r="F41" s="6">
        <v>488504</v>
      </c>
      <c r="G41" s="6">
        <v>447614</v>
      </c>
      <c r="H41" s="6">
        <v>391742</v>
      </c>
      <c r="I41" s="6">
        <v>343803</v>
      </c>
      <c r="J41" s="332">
        <v>495055</v>
      </c>
      <c r="K41" s="6">
        <v>482035</v>
      </c>
      <c r="L41" s="6">
        <v>459820</v>
      </c>
      <c r="M41" s="6">
        <v>434229</v>
      </c>
      <c r="N41" s="332">
        <v>560329</v>
      </c>
      <c r="O41" s="6">
        <v>602963</v>
      </c>
      <c r="P41" s="6">
        <v>617160</v>
      </c>
      <c r="Q41" s="6">
        <v>598131</v>
      </c>
      <c r="Y41" s="4"/>
      <c r="Z41" s="4"/>
      <c r="AA41" s="4"/>
      <c r="AB41" s="4"/>
    </row>
    <row r="42" spans="1:28" ht="13.5">
      <c r="A42" s="146" t="s">
        <v>162</v>
      </c>
      <c r="B42" s="3"/>
      <c r="C42" s="3"/>
      <c r="D42" s="630"/>
      <c r="E42" s="3"/>
      <c r="F42" s="3"/>
      <c r="G42" s="3"/>
      <c r="H42" s="3"/>
      <c r="I42" s="3"/>
      <c r="J42" s="630"/>
      <c r="K42" s="3"/>
      <c r="L42" s="3"/>
      <c r="M42" s="3"/>
      <c r="N42" s="630"/>
      <c r="O42" s="3"/>
      <c r="P42" s="3"/>
      <c r="Q42" s="3"/>
      <c r="Y42" s="4"/>
      <c r="Z42" s="4"/>
      <c r="AA42" s="4"/>
      <c r="AB42" s="4"/>
    </row>
    <row r="43" spans="1:28" ht="13.5">
      <c r="A43" s="146" t="s">
        <v>163</v>
      </c>
      <c r="B43" s="3"/>
      <c r="C43" s="3"/>
      <c r="D43" s="630"/>
      <c r="E43" s="3"/>
      <c r="F43" s="3"/>
      <c r="G43" s="3"/>
      <c r="H43" s="3"/>
      <c r="I43" s="3"/>
      <c r="J43" s="630"/>
      <c r="K43" s="3"/>
      <c r="L43" s="3"/>
      <c r="M43" s="3"/>
      <c r="N43" s="630"/>
      <c r="O43" s="3"/>
      <c r="P43" s="3"/>
      <c r="Q43" s="3"/>
      <c r="Y43" s="4"/>
      <c r="Z43" s="4"/>
      <c r="AA43" s="4"/>
      <c r="AB43" s="4"/>
    </row>
    <row r="44" spans="1:28" ht="13.5">
      <c r="A44" s="148" t="s">
        <v>164</v>
      </c>
      <c r="B44" s="85">
        <v>4607</v>
      </c>
      <c r="C44" s="85">
        <v>4954</v>
      </c>
      <c r="D44" s="85">
        <v>4717</v>
      </c>
      <c r="E44" s="3">
        <v>4688</v>
      </c>
      <c r="F44" s="85">
        <v>15438</v>
      </c>
      <c r="G44" s="85">
        <v>18238</v>
      </c>
      <c r="H44" s="85">
        <v>20624</v>
      </c>
      <c r="I44" s="85">
        <v>21285</v>
      </c>
      <c r="J44" s="85">
        <v>21285</v>
      </c>
      <c r="K44" s="3">
        <v>21285</v>
      </c>
      <c r="L44" s="85">
        <v>21285</v>
      </c>
      <c r="M44" s="85">
        <v>21285</v>
      </c>
      <c r="N44" s="85">
        <v>23785</v>
      </c>
      <c r="O44" s="3">
        <v>25785</v>
      </c>
      <c r="P44" s="85">
        <v>26585</v>
      </c>
      <c r="Q44" s="85">
        <v>27385</v>
      </c>
      <c r="Y44" s="4"/>
      <c r="Z44" s="4"/>
      <c r="AA44" s="4"/>
      <c r="AB44" s="4"/>
    </row>
    <row r="45" spans="1:28" ht="13.5">
      <c r="A45" s="153" t="s">
        <v>165</v>
      </c>
      <c r="B45" s="85"/>
      <c r="C45" s="85"/>
      <c r="D45" s="85"/>
      <c r="E45" s="3"/>
      <c r="F45" s="85"/>
      <c r="G45" s="85"/>
      <c r="H45" s="85">
        <v>0</v>
      </c>
      <c r="I45" s="85">
        <v>0</v>
      </c>
      <c r="J45" s="85">
        <v>0</v>
      </c>
      <c r="K45" s="3">
        <v>0</v>
      </c>
      <c r="L45" s="85">
        <v>0</v>
      </c>
      <c r="M45" s="85">
        <v>0</v>
      </c>
      <c r="N45" s="85">
        <v>0</v>
      </c>
      <c r="O45" s="3">
        <v>0</v>
      </c>
      <c r="P45" s="85">
        <v>0</v>
      </c>
      <c r="Q45" s="85">
        <v>0</v>
      </c>
      <c r="Y45" s="4"/>
      <c r="Z45" s="4"/>
      <c r="AA45" s="4"/>
      <c r="AB45" s="4"/>
    </row>
    <row r="46" spans="1:28" ht="13.5">
      <c r="A46" s="153" t="s">
        <v>166</v>
      </c>
      <c r="B46" s="85">
        <v>2</v>
      </c>
      <c r="C46" s="85">
        <v>4</v>
      </c>
      <c r="D46" s="85">
        <v>3</v>
      </c>
      <c r="E46" s="3">
        <v>2</v>
      </c>
      <c r="F46" s="85">
        <v>4</v>
      </c>
      <c r="G46" s="85">
        <v>3</v>
      </c>
      <c r="H46" s="85">
        <v>0</v>
      </c>
      <c r="I46" s="85">
        <v>0</v>
      </c>
      <c r="J46" s="85">
        <v>0</v>
      </c>
      <c r="K46" s="3">
        <v>0</v>
      </c>
      <c r="L46" s="85">
        <v>0</v>
      </c>
      <c r="M46" s="85">
        <v>0</v>
      </c>
      <c r="N46" s="85">
        <v>0</v>
      </c>
      <c r="O46" s="3">
        <v>0</v>
      </c>
      <c r="P46" s="85">
        <v>0</v>
      </c>
      <c r="Q46" s="85">
        <v>0</v>
      </c>
      <c r="Y46" s="4"/>
      <c r="Z46" s="4"/>
      <c r="AA46" s="4"/>
      <c r="AB46" s="4"/>
    </row>
    <row r="47" spans="1:28" ht="13.5">
      <c r="A47" s="148" t="s">
        <v>167</v>
      </c>
      <c r="B47" s="85">
        <v>20</v>
      </c>
      <c r="C47" s="85">
        <v>6</v>
      </c>
      <c r="D47" s="85">
        <v>19</v>
      </c>
      <c r="E47" s="3">
        <v>5</v>
      </c>
      <c r="F47" s="85">
        <v>852</v>
      </c>
      <c r="G47" s="85">
        <v>631</v>
      </c>
      <c r="H47" s="85">
        <v>684</v>
      </c>
      <c r="I47" s="85">
        <v>597</v>
      </c>
      <c r="J47" s="85">
        <v>597</v>
      </c>
      <c r="K47" s="3">
        <v>597</v>
      </c>
      <c r="L47" s="85">
        <v>597</v>
      </c>
      <c r="M47" s="85">
        <v>597</v>
      </c>
      <c r="N47" s="85">
        <v>597</v>
      </c>
      <c r="O47" s="3">
        <v>597</v>
      </c>
      <c r="P47" s="85">
        <v>597</v>
      </c>
      <c r="Q47" s="85">
        <v>597</v>
      </c>
      <c r="Y47" s="4"/>
      <c r="Z47" s="4"/>
      <c r="AA47" s="4"/>
      <c r="AB47" s="4"/>
    </row>
    <row r="48" spans="1:28" ht="13.5">
      <c r="A48" s="148" t="s">
        <v>168</v>
      </c>
      <c r="B48" s="85"/>
      <c r="C48" s="85"/>
      <c r="D48" s="85"/>
      <c r="E48" s="3"/>
      <c r="F48" s="85"/>
      <c r="G48" s="85"/>
      <c r="H48" s="85"/>
      <c r="I48" s="85"/>
      <c r="J48" s="85"/>
      <c r="K48" s="3">
        <v>0</v>
      </c>
      <c r="L48" s="85">
        <v>0</v>
      </c>
      <c r="M48" s="85">
        <v>0</v>
      </c>
      <c r="N48" s="85">
        <v>0</v>
      </c>
      <c r="O48" s="3">
        <v>0</v>
      </c>
      <c r="P48" s="85">
        <v>0</v>
      </c>
      <c r="Q48" s="85">
        <v>0</v>
      </c>
      <c r="Y48" s="4"/>
      <c r="Z48" s="4"/>
      <c r="AA48" s="4"/>
      <c r="AB48" s="4"/>
    </row>
    <row r="49" spans="1:28" ht="13.5">
      <c r="A49" s="154" t="s">
        <v>169</v>
      </c>
      <c r="B49" s="156">
        <v>4629</v>
      </c>
      <c r="C49" s="156">
        <v>4964</v>
      </c>
      <c r="D49" s="331">
        <v>4739</v>
      </c>
      <c r="E49" s="156">
        <v>4695</v>
      </c>
      <c r="F49" s="156">
        <v>16294</v>
      </c>
      <c r="G49" s="156">
        <v>18872</v>
      </c>
      <c r="H49" s="156">
        <v>21308</v>
      </c>
      <c r="I49" s="156">
        <v>21882</v>
      </c>
      <c r="J49" s="331">
        <v>21882</v>
      </c>
      <c r="K49" s="156">
        <v>21882</v>
      </c>
      <c r="L49" s="156">
        <v>21882</v>
      </c>
      <c r="M49" s="156">
        <v>21882</v>
      </c>
      <c r="N49" s="331">
        <v>24382</v>
      </c>
      <c r="O49" s="156">
        <v>26382</v>
      </c>
      <c r="P49" s="156">
        <v>27182</v>
      </c>
      <c r="Q49" s="156">
        <v>27982</v>
      </c>
      <c r="Y49" s="4"/>
      <c r="Z49" s="4"/>
      <c r="AA49" s="4"/>
      <c r="AB49" s="4"/>
    </row>
    <row r="50" spans="1:28" ht="13.5">
      <c r="A50" s="152" t="s">
        <v>170</v>
      </c>
      <c r="B50" s="85"/>
      <c r="C50" s="85"/>
      <c r="D50" s="630"/>
      <c r="E50" s="3"/>
      <c r="F50" s="85"/>
      <c r="G50" s="85"/>
      <c r="H50" s="85"/>
      <c r="I50" s="85"/>
      <c r="J50" s="630"/>
      <c r="K50" s="3"/>
      <c r="L50" s="85"/>
      <c r="M50" s="85"/>
      <c r="N50" s="630"/>
      <c r="O50" s="3"/>
      <c r="P50" s="85"/>
      <c r="Q50" s="85"/>
      <c r="Y50" s="4"/>
      <c r="Z50" s="4"/>
      <c r="AA50" s="4"/>
      <c r="AB50" s="4"/>
    </row>
    <row r="51" spans="1:28" ht="13.5">
      <c r="A51" s="148" t="s">
        <v>171</v>
      </c>
      <c r="B51" s="85">
        <v>9039</v>
      </c>
      <c r="C51" s="85">
        <v>20718</v>
      </c>
      <c r="D51" s="85">
        <v>9682</v>
      </c>
      <c r="E51" s="3">
        <v>7053</v>
      </c>
      <c r="F51" s="85">
        <v>24216</v>
      </c>
      <c r="G51" s="85">
        <v>32311</v>
      </c>
      <c r="H51" s="85">
        <v>26813</v>
      </c>
      <c r="I51" s="85">
        <v>6942</v>
      </c>
      <c r="J51" s="85">
        <v>6942</v>
      </c>
      <c r="K51" s="3">
        <v>6942</v>
      </c>
      <c r="L51" s="85">
        <v>6942</v>
      </c>
      <c r="M51" s="85">
        <v>6942</v>
      </c>
      <c r="N51" s="85">
        <v>6942</v>
      </c>
      <c r="O51" s="3">
        <v>6942</v>
      </c>
      <c r="P51" s="85">
        <v>6942</v>
      </c>
      <c r="Q51" s="85">
        <v>6942</v>
      </c>
      <c r="Y51" s="4"/>
      <c r="Z51" s="4"/>
      <c r="AA51" s="4"/>
      <c r="AB51" s="4"/>
    </row>
    <row r="52" spans="1:28" ht="13.5">
      <c r="A52" s="148" t="s">
        <v>172</v>
      </c>
      <c r="B52" s="85">
        <v>3004</v>
      </c>
      <c r="C52" s="85">
        <v>51</v>
      </c>
      <c r="D52" s="85">
        <v>68</v>
      </c>
      <c r="E52" s="3">
        <v>79</v>
      </c>
      <c r="F52" s="85">
        <v>1361</v>
      </c>
      <c r="G52" s="85">
        <v>1453</v>
      </c>
      <c r="H52" s="85">
        <v>1855</v>
      </c>
      <c r="I52" s="85">
        <v>2217</v>
      </c>
      <c r="J52" s="85">
        <v>2217</v>
      </c>
      <c r="K52" s="3">
        <v>2217</v>
      </c>
      <c r="L52" s="85">
        <v>2217</v>
      </c>
      <c r="M52" s="85">
        <v>2217</v>
      </c>
      <c r="N52" s="85">
        <v>2217</v>
      </c>
      <c r="O52" s="3">
        <v>2217</v>
      </c>
      <c r="P52" s="85">
        <v>2217</v>
      </c>
      <c r="Q52" s="85">
        <v>2217</v>
      </c>
      <c r="Y52" s="4"/>
      <c r="Z52" s="4"/>
      <c r="AA52" s="4"/>
      <c r="AB52" s="4"/>
    </row>
    <row r="53" spans="1:28" ht="13.5">
      <c r="A53" s="148" t="s">
        <v>173</v>
      </c>
      <c r="B53" s="85">
        <v>131</v>
      </c>
      <c r="C53" s="85">
        <v>35</v>
      </c>
      <c r="D53" s="85">
        <v>116</v>
      </c>
      <c r="E53" s="3"/>
      <c r="F53" s="85"/>
      <c r="G53" s="85"/>
      <c r="H53" s="85">
        <v>895</v>
      </c>
      <c r="I53" s="85">
        <v>1345</v>
      </c>
      <c r="J53" s="85">
        <v>1345</v>
      </c>
      <c r="K53" s="3">
        <v>64345</v>
      </c>
      <c r="L53" s="85">
        <v>127345</v>
      </c>
      <c r="M53" s="85">
        <v>190345</v>
      </c>
      <c r="N53" s="85">
        <v>88345</v>
      </c>
      <c r="O53" s="3">
        <v>46345</v>
      </c>
      <c r="P53" s="85">
        <v>23345</v>
      </c>
      <c r="Q53" s="85">
        <v>1345</v>
      </c>
      <c r="Y53" s="4"/>
      <c r="Z53" s="4"/>
      <c r="AA53" s="4"/>
      <c r="AB53" s="4"/>
    </row>
    <row r="54" spans="1:28" ht="13.5">
      <c r="A54" s="148" t="s">
        <v>174</v>
      </c>
      <c r="B54" s="85"/>
      <c r="C54" s="85"/>
      <c r="D54" s="85"/>
      <c r="E54" s="3"/>
      <c r="F54" s="85"/>
      <c r="G54" s="85">
        <v>0</v>
      </c>
      <c r="H54" s="85">
        <v>0</v>
      </c>
      <c r="I54" s="85"/>
      <c r="J54" s="85">
        <v>0</v>
      </c>
      <c r="K54" s="3"/>
      <c r="L54" s="85"/>
      <c r="M54" s="85"/>
      <c r="N54" s="85"/>
      <c r="O54" s="3"/>
      <c r="P54" s="85"/>
      <c r="Q54" s="85"/>
      <c r="Y54" s="4"/>
      <c r="Z54" s="4"/>
      <c r="AA54" s="4"/>
      <c r="AB54" s="4"/>
    </row>
    <row r="55" spans="1:28" ht="13.5">
      <c r="A55" s="159" t="s">
        <v>323</v>
      </c>
      <c r="B55" s="85"/>
      <c r="C55" s="85"/>
      <c r="D55" s="85"/>
      <c r="E55" s="3"/>
      <c r="F55" s="85"/>
      <c r="G55" s="85"/>
      <c r="H55" s="85"/>
      <c r="I55" s="85">
        <v>2509</v>
      </c>
      <c r="J55" s="85">
        <v>2509</v>
      </c>
      <c r="K55" s="3">
        <v>1440</v>
      </c>
      <c r="L55" s="85">
        <v>1440</v>
      </c>
      <c r="M55" s="85">
        <v>1440</v>
      </c>
      <c r="N55" s="85">
        <v>1440</v>
      </c>
      <c r="O55" s="3">
        <v>1440</v>
      </c>
      <c r="P55" s="85">
        <v>1440</v>
      </c>
      <c r="Q55" s="85">
        <v>1440</v>
      </c>
      <c r="Y55" s="4"/>
      <c r="Z55" s="4"/>
      <c r="AA55" s="4"/>
      <c r="AB55" s="4"/>
    </row>
    <row r="56" spans="1:28" ht="13.5">
      <c r="A56" s="148" t="s">
        <v>175</v>
      </c>
      <c r="B56" s="85">
        <v>99</v>
      </c>
      <c r="C56" s="85">
        <v>57</v>
      </c>
      <c r="D56" s="85">
        <v>87</v>
      </c>
      <c r="E56" s="3"/>
      <c r="F56" s="85"/>
      <c r="G56" s="85"/>
      <c r="H56" s="85">
        <v>1927</v>
      </c>
      <c r="I56" s="85">
        <v>1650</v>
      </c>
      <c r="J56" s="85">
        <v>1650</v>
      </c>
      <c r="K56" s="3">
        <v>1650</v>
      </c>
      <c r="L56" s="85">
        <v>1650</v>
      </c>
      <c r="M56" s="85">
        <v>1650</v>
      </c>
      <c r="N56" s="85">
        <v>1650</v>
      </c>
      <c r="O56" s="3">
        <v>1650</v>
      </c>
      <c r="P56" s="85">
        <v>1650</v>
      </c>
      <c r="Q56" s="85">
        <v>1650</v>
      </c>
      <c r="Y56" s="4"/>
      <c r="Z56" s="4"/>
      <c r="AA56" s="4"/>
      <c r="AB56" s="4"/>
    </row>
    <row r="57" spans="1:28" ht="13.5">
      <c r="A57" s="148" t="s">
        <v>176</v>
      </c>
      <c r="B57" s="85">
        <v>136</v>
      </c>
      <c r="C57" s="85"/>
      <c r="D57" s="85"/>
      <c r="E57" s="3">
        <v>11921</v>
      </c>
      <c r="F57" s="85">
        <v>310</v>
      </c>
      <c r="G57" s="85">
        <v>503</v>
      </c>
      <c r="H57" s="85">
        <v>962</v>
      </c>
      <c r="I57" s="85">
        <v>1089</v>
      </c>
      <c r="J57" s="85">
        <v>1089</v>
      </c>
      <c r="K57" s="3">
        <v>1089</v>
      </c>
      <c r="L57" s="85">
        <v>1089</v>
      </c>
      <c r="M57" s="85">
        <v>1089</v>
      </c>
      <c r="N57" s="85">
        <v>1089</v>
      </c>
      <c r="O57" s="3">
        <v>1089</v>
      </c>
      <c r="P57" s="85">
        <v>1089</v>
      </c>
      <c r="Q57" s="85">
        <v>1089</v>
      </c>
      <c r="Y57" s="4"/>
      <c r="Z57" s="4"/>
      <c r="AA57" s="4"/>
      <c r="AB57" s="4"/>
    </row>
    <row r="58" spans="1:28" ht="13.5">
      <c r="A58" s="148" t="s">
        <v>177</v>
      </c>
      <c r="B58" s="85">
        <v>248</v>
      </c>
      <c r="C58" s="85">
        <v>1049</v>
      </c>
      <c r="D58" s="85">
        <v>630</v>
      </c>
      <c r="E58" s="3">
        <v>561</v>
      </c>
      <c r="F58" s="85">
        <v>2017</v>
      </c>
      <c r="G58" s="85">
        <v>12798</v>
      </c>
      <c r="H58" s="85">
        <v>10486</v>
      </c>
      <c r="I58" s="85">
        <v>7951</v>
      </c>
      <c r="J58" s="85">
        <v>7951</v>
      </c>
      <c r="K58" s="3">
        <v>7951</v>
      </c>
      <c r="L58" s="85">
        <v>7951</v>
      </c>
      <c r="M58" s="85">
        <v>7951</v>
      </c>
      <c r="N58" s="85">
        <v>7951</v>
      </c>
      <c r="O58" s="3">
        <v>7951</v>
      </c>
      <c r="P58" s="85">
        <v>7951</v>
      </c>
      <c r="Q58" s="85">
        <v>7951</v>
      </c>
      <c r="Y58" s="4"/>
      <c r="Z58" s="4"/>
      <c r="AA58" s="4"/>
      <c r="AB58" s="4"/>
    </row>
    <row r="59" spans="1:28" ht="13.5">
      <c r="A59" s="148" t="s">
        <v>178</v>
      </c>
      <c r="B59" s="85"/>
      <c r="C59" s="85">
        <v>177</v>
      </c>
      <c r="D59" s="85"/>
      <c r="E59" s="3"/>
      <c r="F59" s="85"/>
      <c r="G59" s="85"/>
      <c r="H59" s="85">
        <v>650</v>
      </c>
      <c r="I59" s="85">
        <v>935</v>
      </c>
      <c r="J59" s="85">
        <v>935</v>
      </c>
      <c r="K59" s="3">
        <v>935</v>
      </c>
      <c r="L59" s="85">
        <v>935</v>
      </c>
      <c r="M59" s="85">
        <v>935</v>
      </c>
      <c r="N59" s="85">
        <v>935</v>
      </c>
      <c r="O59" s="3">
        <v>935</v>
      </c>
      <c r="P59" s="85">
        <v>935</v>
      </c>
      <c r="Q59" s="85">
        <v>935</v>
      </c>
      <c r="Y59" s="4"/>
      <c r="Z59" s="4"/>
      <c r="AA59" s="4"/>
      <c r="AB59" s="4"/>
    </row>
    <row r="60" spans="1:28" ht="13.5">
      <c r="A60" s="150" t="s">
        <v>179</v>
      </c>
      <c r="B60" s="6">
        <v>12657</v>
      </c>
      <c r="C60" s="6">
        <v>22087</v>
      </c>
      <c r="D60" s="6">
        <v>10583</v>
      </c>
      <c r="E60" s="6">
        <v>19614</v>
      </c>
      <c r="F60" s="6">
        <v>27904</v>
      </c>
      <c r="G60" s="6">
        <v>47065</v>
      </c>
      <c r="H60" s="6">
        <v>43588</v>
      </c>
      <c r="I60" s="6">
        <v>24638</v>
      </c>
      <c r="J60" s="618">
        <v>24638</v>
      </c>
      <c r="K60" s="6">
        <v>86569</v>
      </c>
      <c r="L60" s="6">
        <v>149569</v>
      </c>
      <c r="M60" s="6">
        <v>212569</v>
      </c>
      <c r="N60" s="618">
        <v>110569</v>
      </c>
      <c r="O60" s="6">
        <v>68569</v>
      </c>
      <c r="P60" s="6">
        <v>45569</v>
      </c>
      <c r="Q60" s="6">
        <v>23569</v>
      </c>
      <c r="Y60" s="4"/>
      <c r="Z60" s="4"/>
      <c r="AA60" s="4"/>
      <c r="AB60" s="4"/>
    </row>
    <row r="61" spans="1:28" ht="13.5">
      <c r="A61" s="152" t="s">
        <v>180</v>
      </c>
      <c r="B61" s="330"/>
      <c r="C61" s="330"/>
      <c r="D61" s="330"/>
      <c r="E61" s="163"/>
      <c r="F61" s="330"/>
      <c r="G61" s="330"/>
      <c r="H61" s="330"/>
      <c r="I61" s="330"/>
      <c r="J61" s="632"/>
      <c r="K61" s="163"/>
      <c r="L61" s="330"/>
      <c r="M61" s="330"/>
      <c r="N61" s="632"/>
      <c r="O61" s="163"/>
      <c r="P61" s="330"/>
      <c r="Q61" s="330"/>
      <c r="Y61" s="4"/>
      <c r="Z61" s="4"/>
      <c r="AA61" s="4"/>
      <c r="AB61" s="4"/>
    </row>
    <row r="62" spans="1:28" ht="13.5">
      <c r="A62" s="148" t="s">
        <v>181</v>
      </c>
      <c r="B62" s="330"/>
      <c r="C62" s="330"/>
      <c r="D62" s="85"/>
      <c r="E62" s="163"/>
      <c r="F62" s="330"/>
      <c r="G62" s="330"/>
      <c r="H62" s="330"/>
      <c r="I62" s="330"/>
      <c r="J62" s="330"/>
      <c r="K62" s="163"/>
      <c r="L62" s="330"/>
      <c r="M62" s="330"/>
      <c r="N62" s="330"/>
      <c r="O62" s="163"/>
      <c r="P62" s="330"/>
      <c r="Q62" s="330"/>
      <c r="Y62" s="4"/>
      <c r="Z62" s="4"/>
      <c r="AA62" s="4"/>
      <c r="AB62" s="4"/>
    </row>
    <row r="63" spans="1:28" ht="13.5">
      <c r="A63" s="148" t="s">
        <v>182</v>
      </c>
      <c r="B63" s="330"/>
      <c r="C63" s="330"/>
      <c r="D63" s="330"/>
      <c r="E63" s="163"/>
      <c r="F63" s="330"/>
      <c r="G63" s="330"/>
      <c r="H63" s="330"/>
      <c r="I63" s="330"/>
      <c r="J63" s="330"/>
      <c r="K63" s="163"/>
      <c r="L63" s="330"/>
      <c r="M63" s="330"/>
      <c r="N63" s="330"/>
      <c r="O63" s="163"/>
      <c r="P63" s="330"/>
      <c r="Q63" s="330"/>
      <c r="Y63" s="4"/>
      <c r="Z63" s="4"/>
      <c r="AA63" s="4"/>
      <c r="AB63" s="4"/>
    </row>
    <row r="64" spans="1:28" ht="13.5">
      <c r="A64" s="148" t="s">
        <v>183</v>
      </c>
      <c r="B64" s="330"/>
      <c r="C64" s="330"/>
      <c r="D64" s="330"/>
      <c r="E64" s="163"/>
      <c r="F64" s="330"/>
      <c r="G64" s="330"/>
      <c r="H64" s="330"/>
      <c r="I64" s="330"/>
      <c r="J64" s="330"/>
      <c r="K64" s="163"/>
      <c r="L64" s="330"/>
      <c r="M64" s="330"/>
      <c r="N64" s="330"/>
      <c r="O64" s="163"/>
      <c r="P64" s="330"/>
      <c r="Q64" s="330"/>
      <c r="Y64" s="4"/>
      <c r="Z64" s="4"/>
      <c r="AA64" s="4"/>
      <c r="AB64" s="4"/>
    </row>
    <row r="65" spans="1:28" ht="13.5">
      <c r="A65" s="148" t="s">
        <v>184</v>
      </c>
      <c r="B65" s="330"/>
      <c r="C65" s="330"/>
      <c r="D65" s="330"/>
      <c r="E65" s="163"/>
      <c r="F65" s="330"/>
      <c r="G65" s="330"/>
      <c r="H65" s="330"/>
      <c r="I65" s="330"/>
      <c r="J65" s="330"/>
      <c r="K65" s="163"/>
      <c r="L65" s="330"/>
      <c r="M65" s="330"/>
      <c r="N65" s="330"/>
      <c r="O65" s="163"/>
      <c r="P65" s="330"/>
      <c r="Q65" s="330"/>
      <c r="Y65" s="4"/>
      <c r="Z65" s="4"/>
      <c r="AA65" s="4"/>
      <c r="AB65" s="4"/>
    </row>
    <row r="66" spans="1:28" ht="13.5">
      <c r="A66" s="150" t="s">
        <v>185</v>
      </c>
      <c r="B66" s="331">
        <v>0</v>
      </c>
      <c r="C66" s="331">
        <v>0</v>
      </c>
      <c r="D66" s="633">
        <v>0</v>
      </c>
      <c r="E66" s="156">
        <v>0</v>
      </c>
      <c r="F66" s="331">
        <v>0</v>
      </c>
      <c r="G66" s="331">
        <v>0</v>
      </c>
      <c r="H66" s="331">
        <v>0</v>
      </c>
      <c r="I66" s="331">
        <v>0</v>
      </c>
      <c r="J66" s="633">
        <v>0</v>
      </c>
      <c r="K66" s="156">
        <v>0</v>
      </c>
      <c r="L66" s="331">
        <v>0</v>
      </c>
      <c r="M66" s="331">
        <v>0</v>
      </c>
      <c r="N66" s="633">
        <v>0</v>
      </c>
      <c r="O66" s="156">
        <v>0</v>
      </c>
      <c r="P66" s="331">
        <v>0</v>
      </c>
      <c r="Q66" s="331">
        <v>0</v>
      </c>
      <c r="Y66" s="4"/>
      <c r="Z66" s="4"/>
      <c r="AA66" s="4"/>
      <c r="AB66" s="4"/>
    </row>
    <row r="67" spans="1:28" ht="13.5">
      <c r="A67" s="146" t="s">
        <v>186</v>
      </c>
      <c r="B67" s="85"/>
      <c r="C67" s="85"/>
      <c r="D67" s="630"/>
      <c r="E67" s="3"/>
      <c r="F67" s="85"/>
      <c r="G67" s="85"/>
      <c r="H67" s="85"/>
      <c r="I67" s="85"/>
      <c r="J67" s="630"/>
      <c r="K67" s="3"/>
      <c r="L67" s="85"/>
      <c r="M67" s="85"/>
      <c r="N67" s="630"/>
      <c r="O67" s="3"/>
      <c r="P67" s="85"/>
      <c r="Q67" s="85"/>
      <c r="Y67" s="4"/>
      <c r="Z67" s="4"/>
      <c r="AA67" s="4"/>
      <c r="AB67" s="4"/>
    </row>
    <row r="68" spans="1:28" ht="13.5">
      <c r="A68" s="148" t="s">
        <v>187</v>
      </c>
      <c r="B68" s="85">
        <v>970</v>
      </c>
      <c r="C68" s="85">
        <v>38</v>
      </c>
      <c r="D68" s="85">
        <v>30</v>
      </c>
      <c r="E68" s="3">
        <v>501</v>
      </c>
      <c r="F68" s="85">
        <v>496</v>
      </c>
      <c r="G68" s="85">
        <v>736</v>
      </c>
      <c r="H68" s="85">
        <v>484</v>
      </c>
      <c r="I68" s="85">
        <v>440</v>
      </c>
      <c r="J68" s="85"/>
      <c r="K68" s="3"/>
      <c r="L68" s="85"/>
      <c r="M68" s="85"/>
      <c r="N68" s="85"/>
      <c r="O68" s="3"/>
      <c r="P68" s="85"/>
      <c r="Q68" s="85"/>
      <c r="Y68" s="4"/>
      <c r="Z68" s="4"/>
      <c r="AA68" s="4"/>
      <c r="AB68" s="4"/>
    </row>
    <row r="69" spans="1:28" ht="13.5">
      <c r="A69" s="148" t="s">
        <v>188</v>
      </c>
      <c r="B69" s="85">
        <v>710</v>
      </c>
      <c r="C69" s="85">
        <v>581</v>
      </c>
      <c r="D69" s="85">
        <v>369</v>
      </c>
      <c r="E69" s="3">
        <v>11039</v>
      </c>
      <c r="F69" s="85">
        <v>11338</v>
      </c>
      <c r="G69" s="85">
        <v>22434</v>
      </c>
      <c r="H69" s="85">
        <v>11107</v>
      </c>
      <c r="I69" s="85">
        <v>6022</v>
      </c>
      <c r="J69" s="85">
        <v>4529</v>
      </c>
      <c r="K69" s="3">
        <v>3034</v>
      </c>
      <c r="L69" s="85">
        <v>5710</v>
      </c>
      <c r="M69" s="85">
        <v>8149</v>
      </c>
      <c r="N69" s="3">
        <v>13329</v>
      </c>
      <c r="O69" s="3">
        <v>18489</v>
      </c>
      <c r="P69" s="85">
        <v>23969</v>
      </c>
      <c r="Q69" s="85">
        <v>15430</v>
      </c>
      <c r="Y69" s="4"/>
      <c r="Z69" s="4"/>
      <c r="AA69" s="4"/>
      <c r="AB69" s="4"/>
    </row>
    <row r="70" spans="1:28" ht="13.5">
      <c r="A70" s="148" t="s">
        <v>189</v>
      </c>
      <c r="B70" s="330">
        <v>45</v>
      </c>
      <c r="C70" s="330"/>
      <c r="D70" s="330"/>
      <c r="E70" s="3"/>
      <c r="F70" s="330"/>
      <c r="G70" s="330"/>
      <c r="H70" s="330"/>
      <c r="I70" s="330"/>
      <c r="J70" s="330"/>
      <c r="K70" s="3"/>
      <c r="L70" s="330"/>
      <c r="M70" s="330"/>
      <c r="N70" s="3"/>
      <c r="O70" s="3"/>
      <c r="P70" s="330"/>
      <c r="Q70" s="330"/>
      <c r="Y70" s="4"/>
      <c r="Z70" s="4"/>
      <c r="AA70" s="4"/>
      <c r="AB70" s="4"/>
    </row>
    <row r="71" spans="1:28" ht="13.5">
      <c r="A71" s="148" t="s">
        <v>190</v>
      </c>
      <c r="B71" s="85"/>
      <c r="C71" s="85"/>
      <c r="D71" s="85"/>
      <c r="E71" s="3"/>
      <c r="F71" s="85"/>
      <c r="G71" s="85"/>
      <c r="H71" s="85"/>
      <c r="I71" s="85"/>
      <c r="J71" s="85"/>
      <c r="K71" s="3"/>
      <c r="L71" s="85"/>
      <c r="M71" s="85"/>
      <c r="N71" s="3"/>
      <c r="O71" s="3"/>
      <c r="P71" s="85"/>
      <c r="Q71" s="85"/>
      <c r="Y71" s="4"/>
      <c r="Z71" s="4"/>
      <c r="AA71" s="4"/>
      <c r="AB71" s="4"/>
    </row>
    <row r="72" spans="1:28" ht="13.5">
      <c r="A72" s="150" t="s">
        <v>158</v>
      </c>
      <c r="B72" s="6">
        <v>1725</v>
      </c>
      <c r="C72" s="6">
        <v>619</v>
      </c>
      <c r="D72" s="6">
        <v>399</v>
      </c>
      <c r="E72" s="6">
        <v>11540</v>
      </c>
      <c r="F72" s="6">
        <v>11834</v>
      </c>
      <c r="G72" s="6">
        <v>23170</v>
      </c>
      <c r="H72" s="6">
        <v>11591</v>
      </c>
      <c r="I72" s="6">
        <v>6462</v>
      </c>
      <c r="J72" s="6">
        <v>4529</v>
      </c>
      <c r="K72" s="6">
        <v>3034</v>
      </c>
      <c r="L72" s="6">
        <v>5710</v>
      </c>
      <c r="M72" s="6">
        <v>8149</v>
      </c>
      <c r="N72" s="6">
        <v>13329</v>
      </c>
      <c r="O72" s="6">
        <v>18489</v>
      </c>
      <c r="P72" s="6">
        <v>23969</v>
      </c>
      <c r="Q72" s="6">
        <v>15430</v>
      </c>
      <c r="Y72" s="4"/>
      <c r="Z72" s="4"/>
      <c r="AA72" s="4"/>
      <c r="AB72" s="4"/>
    </row>
    <row r="73" spans="1:28" ht="13.5">
      <c r="A73" s="152" t="s">
        <v>159</v>
      </c>
      <c r="B73" s="330"/>
      <c r="C73" s="330"/>
      <c r="D73" s="330"/>
      <c r="E73" s="156"/>
      <c r="F73" s="330"/>
      <c r="G73" s="330"/>
      <c r="H73" s="330"/>
      <c r="I73" s="330"/>
      <c r="J73" s="330"/>
      <c r="K73" s="156"/>
      <c r="L73" s="330"/>
      <c r="M73" s="330"/>
      <c r="N73" s="156"/>
      <c r="O73" s="156"/>
      <c r="P73" s="330"/>
      <c r="Q73" s="330"/>
      <c r="Y73" s="4"/>
      <c r="Z73" s="4"/>
      <c r="AA73" s="4"/>
      <c r="AB73" s="4"/>
    </row>
    <row r="74" spans="1:28" ht="13.5">
      <c r="A74" s="150" t="s">
        <v>160</v>
      </c>
      <c r="B74" s="332">
        <v>0</v>
      </c>
      <c r="C74" s="332">
        <v>0</v>
      </c>
      <c r="D74" s="332">
        <v>0</v>
      </c>
      <c r="E74" s="163">
        <v>0</v>
      </c>
      <c r="F74" s="332">
        <v>0</v>
      </c>
      <c r="G74" s="332">
        <v>0</v>
      </c>
      <c r="H74" s="332">
        <v>0</v>
      </c>
      <c r="I74" s="332">
        <v>0</v>
      </c>
      <c r="J74" s="332">
        <v>0</v>
      </c>
      <c r="K74" s="163">
        <v>0</v>
      </c>
      <c r="L74" s="332">
        <v>0</v>
      </c>
      <c r="M74" s="332">
        <v>0</v>
      </c>
      <c r="N74" s="163">
        <v>0</v>
      </c>
      <c r="O74" s="163">
        <v>0</v>
      </c>
      <c r="P74" s="332">
        <v>0</v>
      </c>
      <c r="Q74" s="332">
        <v>0</v>
      </c>
      <c r="Y74" s="4"/>
      <c r="Z74" s="4"/>
      <c r="AA74" s="4"/>
      <c r="AB74" s="4"/>
    </row>
    <row r="75" spans="1:28" ht="13.5">
      <c r="A75" s="164" t="s">
        <v>191</v>
      </c>
      <c r="B75" s="6">
        <v>19011</v>
      </c>
      <c r="C75" s="6">
        <v>27670</v>
      </c>
      <c r="D75" s="6">
        <v>15721</v>
      </c>
      <c r="E75" s="6">
        <v>35849</v>
      </c>
      <c r="F75" s="6">
        <v>56032</v>
      </c>
      <c r="G75" s="6">
        <v>89107</v>
      </c>
      <c r="H75" s="6">
        <v>76487</v>
      </c>
      <c r="I75" s="6">
        <v>52982</v>
      </c>
      <c r="J75" s="6">
        <v>51049</v>
      </c>
      <c r="K75" s="6">
        <v>111485</v>
      </c>
      <c r="L75" s="6">
        <v>177161</v>
      </c>
      <c r="M75" s="6">
        <v>242600</v>
      </c>
      <c r="N75" s="6">
        <v>148280</v>
      </c>
      <c r="O75" s="6">
        <v>113440</v>
      </c>
      <c r="P75" s="6">
        <v>96720</v>
      </c>
      <c r="Q75" s="6">
        <v>66981</v>
      </c>
      <c r="Y75" s="4"/>
      <c r="Z75" s="4"/>
      <c r="AA75" s="4"/>
      <c r="AB75" s="4"/>
    </row>
    <row r="76" spans="1:28" ht="13.5">
      <c r="A76" s="146" t="s">
        <v>192</v>
      </c>
      <c r="B76" s="332"/>
      <c r="C76" s="332"/>
      <c r="D76" s="332"/>
      <c r="E76" s="6"/>
      <c r="F76" s="332"/>
      <c r="G76" s="332"/>
      <c r="H76" s="332"/>
      <c r="I76" s="332"/>
      <c r="J76" s="332"/>
      <c r="K76" s="6"/>
      <c r="L76" s="332"/>
      <c r="M76" s="332"/>
      <c r="N76" s="6"/>
      <c r="O76" s="332"/>
      <c r="P76" s="332"/>
      <c r="Q76" s="332"/>
      <c r="Y76" s="4"/>
      <c r="Z76" s="4"/>
      <c r="AA76" s="4"/>
      <c r="AB76" s="4"/>
    </row>
    <row r="77" spans="1:28" ht="13.5">
      <c r="A77" s="148" t="s">
        <v>193</v>
      </c>
      <c r="B77" s="333"/>
      <c r="C77" s="333"/>
      <c r="D77" s="333"/>
      <c r="E77" s="3"/>
      <c r="F77" s="333"/>
      <c r="G77" s="333">
        <v>3380</v>
      </c>
      <c r="H77" s="333">
        <v>3113</v>
      </c>
      <c r="I77" s="333">
        <v>5897</v>
      </c>
      <c r="J77" s="333">
        <v>5897</v>
      </c>
      <c r="K77" s="3"/>
      <c r="L77" s="333"/>
      <c r="M77" s="333"/>
      <c r="N77" s="333"/>
      <c r="O77" s="333"/>
      <c r="P77" s="333"/>
      <c r="Q77" s="333"/>
      <c r="Y77" s="4"/>
      <c r="Z77" s="4"/>
      <c r="AA77" s="4"/>
      <c r="AB77" s="4"/>
    </row>
    <row r="78" spans="1:28" ht="13.5">
      <c r="A78" s="148" t="s">
        <v>194</v>
      </c>
      <c r="B78" s="334"/>
      <c r="C78" s="334"/>
      <c r="D78" s="334"/>
      <c r="E78" s="6"/>
      <c r="F78" s="334"/>
      <c r="G78" s="334"/>
      <c r="H78" s="334"/>
      <c r="I78" s="334"/>
      <c r="J78" s="334"/>
      <c r="K78" s="6"/>
      <c r="L78" s="334"/>
      <c r="M78" s="334"/>
      <c r="N78" s="334"/>
      <c r="O78" s="334"/>
      <c r="P78" s="334"/>
      <c r="Q78" s="334"/>
      <c r="Y78" s="4"/>
      <c r="Z78" s="4"/>
      <c r="AA78" s="4"/>
      <c r="AB78" s="4"/>
    </row>
    <row r="79" spans="1:28" ht="13.5">
      <c r="A79" s="166" t="s">
        <v>195</v>
      </c>
      <c r="B79" s="332"/>
      <c r="C79" s="332"/>
      <c r="D79" s="332">
        <v>0</v>
      </c>
      <c r="E79" s="6">
        <v>0</v>
      </c>
      <c r="F79" s="332">
        <v>0</v>
      </c>
      <c r="G79" s="332">
        <v>3380</v>
      </c>
      <c r="H79" s="332">
        <v>3113</v>
      </c>
      <c r="I79" s="332">
        <v>5897</v>
      </c>
      <c r="J79" s="332">
        <v>5897</v>
      </c>
      <c r="K79" s="6">
        <v>0</v>
      </c>
      <c r="L79" s="332">
        <v>0</v>
      </c>
      <c r="M79" s="332">
        <v>0</v>
      </c>
      <c r="N79" s="332">
        <v>0</v>
      </c>
      <c r="O79" s="332">
        <v>0</v>
      </c>
      <c r="P79" s="332">
        <v>0</v>
      </c>
      <c r="Q79" s="332">
        <v>0</v>
      </c>
      <c r="Y79" s="4"/>
      <c r="Z79" s="4"/>
      <c r="AA79" s="4"/>
      <c r="AB79" s="4"/>
    </row>
    <row r="80" spans="1:28" ht="13.5">
      <c r="A80" s="653" t="s">
        <v>196</v>
      </c>
      <c r="B80" s="654">
        <v>30935</v>
      </c>
      <c r="C80" s="654">
        <v>67315</v>
      </c>
      <c r="D80" s="652">
        <v>55476</v>
      </c>
      <c r="E80" s="654">
        <v>94520</v>
      </c>
      <c r="F80" s="654">
        <v>544536</v>
      </c>
      <c r="G80" s="654">
        <v>540101</v>
      </c>
      <c r="H80" s="654">
        <v>471342</v>
      </c>
      <c r="I80" s="654">
        <v>402682</v>
      </c>
      <c r="J80" s="654">
        <v>552001</v>
      </c>
      <c r="K80" s="654">
        <v>593520</v>
      </c>
      <c r="L80" s="654">
        <v>636981</v>
      </c>
      <c r="M80" s="654">
        <v>676829</v>
      </c>
      <c r="N80" s="652">
        <v>708609</v>
      </c>
      <c r="O80" s="654">
        <v>716403</v>
      </c>
      <c r="P80" s="654">
        <v>713880</v>
      </c>
      <c r="Q80" s="654">
        <v>665112</v>
      </c>
      <c r="Y80" s="4"/>
      <c r="Z80" s="4"/>
      <c r="AA80" s="4"/>
      <c r="AB80" s="4"/>
    </row>
    <row r="81" spans="1:28" ht="13.5">
      <c r="A81" s="168" t="s">
        <v>197</v>
      </c>
      <c r="B81" s="335">
        <v>3545</v>
      </c>
      <c r="C81" s="335">
        <v>3456</v>
      </c>
      <c r="D81" s="170">
        <v>4035</v>
      </c>
      <c r="E81" s="170">
        <v>3892</v>
      </c>
      <c r="F81" s="335">
        <v>8798</v>
      </c>
      <c r="G81" s="335">
        <v>71842</v>
      </c>
      <c r="H81" s="335">
        <v>12299</v>
      </c>
      <c r="I81" s="335"/>
      <c r="J81" s="170"/>
      <c r="K81" s="170"/>
      <c r="L81" s="335"/>
      <c r="M81" s="335"/>
      <c r="N81" s="170"/>
      <c r="O81" s="170"/>
      <c r="P81" s="335"/>
      <c r="Q81" s="335"/>
      <c r="T81" s="5"/>
      <c r="U81" s="5"/>
      <c r="Y81" s="4"/>
      <c r="Z81" s="4"/>
      <c r="AA81" s="4"/>
      <c r="AB81" s="4"/>
    </row>
    <row r="82" spans="1:28" ht="13.5">
      <c r="A82" s="171"/>
      <c r="B82" s="172"/>
      <c r="C82" s="172"/>
      <c r="D82" s="134"/>
      <c r="E82" s="173"/>
      <c r="J82" s="134"/>
      <c r="K82" s="134"/>
      <c r="L82" s="134"/>
      <c r="N82" s="4"/>
      <c r="O82" s="4"/>
      <c r="P82" s="4"/>
      <c r="Q82" s="4"/>
      <c r="Y82" s="4"/>
      <c r="Z82" s="4"/>
      <c r="AA82" s="4"/>
      <c r="AB82" s="4"/>
    </row>
    <row r="83" spans="1:28" ht="13.5">
      <c r="A83" s="134"/>
      <c r="B83" s="134"/>
      <c r="C83" s="134"/>
      <c r="D83" s="134"/>
      <c r="E83" s="137"/>
      <c r="I83" s="137"/>
      <c r="J83" s="137"/>
      <c r="K83" s="137"/>
      <c r="L83" s="137"/>
      <c r="N83" s="4"/>
      <c r="O83" s="4"/>
      <c r="P83" s="4"/>
      <c r="Q83" s="660" t="s">
        <v>640</v>
      </c>
      <c r="Y83" s="4"/>
      <c r="Z83" s="4"/>
      <c r="AA83" s="4"/>
      <c r="AB83" s="4"/>
    </row>
    <row r="84" spans="1:28" ht="13.5">
      <c r="A84" s="650"/>
      <c r="B84" s="651" t="s">
        <v>3</v>
      </c>
      <c r="C84" s="651" t="s">
        <v>3</v>
      </c>
      <c r="D84" s="651" t="s">
        <v>3</v>
      </c>
      <c r="E84" s="651" t="s">
        <v>118</v>
      </c>
      <c r="F84" s="651" t="s">
        <v>3</v>
      </c>
      <c r="G84" s="651" t="s">
        <v>118</v>
      </c>
      <c r="H84" s="651" t="s">
        <v>118</v>
      </c>
      <c r="I84" s="651" t="s">
        <v>500</v>
      </c>
      <c r="J84" s="651" t="s">
        <v>119</v>
      </c>
      <c r="K84" s="651" t="s">
        <v>119</v>
      </c>
      <c r="L84" s="651" t="s">
        <v>119</v>
      </c>
      <c r="M84" s="651" t="s">
        <v>119</v>
      </c>
      <c r="N84" s="651" t="s">
        <v>119</v>
      </c>
      <c r="O84" s="651" t="s">
        <v>119</v>
      </c>
      <c r="P84" s="651" t="s">
        <v>119</v>
      </c>
      <c r="Q84" s="651" t="s">
        <v>119</v>
      </c>
      <c r="Y84" s="4"/>
      <c r="Z84" s="4"/>
      <c r="AA84" s="4"/>
      <c r="AB84" s="4"/>
    </row>
    <row r="85" spans="1:28" ht="14.25" thickBot="1">
      <c r="A85" s="658" t="s">
        <v>198</v>
      </c>
      <c r="B85" s="659">
        <v>39447</v>
      </c>
      <c r="C85" s="659">
        <v>39813</v>
      </c>
      <c r="D85" s="659">
        <v>40178</v>
      </c>
      <c r="E85" s="659">
        <v>40543</v>
      </c>
      <c r="F85" s="659">
        <v>40908</v>
      </c>
      <c r="G85" s="659">
        <v>41274</v>
      </c>
      <c r="H85" s="659">
        <v>41639</v>
      </c>
      <c r="I85" s="659">
        <v>42004</v>
      </c>
      <c r="J85" s="659">
        <v>42369</v>
      </c>
      <c r="K85" s="659">
        <v>42735</v>
      </c>
      <c r="L85" s="659">
        <v>43100</v>
      </c>
      <c r="M85" s="659">
        <v>43465</v>
      </c>
      <c r="N85" s="659">
        <v>43830</v>
      </c>
      <c r="O85" s="659">
        <v>44196</v>
      </c>
      <c r="P85" s="659">
        <v>44561</v>
      </c>
      <c r="Q85" s="659">
        <v>44926</v>
      </c>
      <c r="Y85" s="4"/>
      <c r="Z85" s="4"/>
      <c r="AA85" s="4"/>
      <c r="AB85" s="4"/>
    </row>
    <row r="86" spans="1:28" ht="14.25" thickTop="1">
      <c r="A86" s="152" t="s">
        <v>199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N86" s="4"/>
      <c r="O86" s="4"/>
      <c r="P86" s="4"/>
      <c r="Q86" s="4"/>
      <c r="Y86" s="4"/>
      <c r="Z86" s="4"/>
      <c r="AA86" s="4"/>
      <c r="AB86" s="4"/>
    </row>
    <row r="87" spans="1:28" ht="13.5">
      <c r="A87" s="146" t="s">
        <v>200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4"/>
      <c r="O87" s="4"/>
      <c r="P87" s="4"/>
      <c r="Q87" s="4"/>
      <c r="Y87" s="4"/>
      <c r="Z87" s="4"/>
      <c r="AA87" s="4"/>
      <c r="AB87" s="4"/>
    </row>
    <row r="88" spans="1:28" ht="13.5">
      <c r="A88" s="148" t="s">
        <v>201</v>
      </c>
      <c r="B88" s="3">
        <v>9900</v>
      </c>
      <c r="C88" s="3">
        <v>9900</v>
      </c>
      <c r="D88" s="3">
        <v>9900</v>
      </c>
      <c r="E88" s="3">
        <v>9900</v>
      </c>
      <c r="F88" s="3">
        <v>9900</v>
      </c>
      <c r="G88" s="3">
        <v>9900</v>
      </c>
      <c r="H88" s="3">
        <v>9900</v>
      </c>
      <c r="I88" s="3">
        <v>9900</v>
      </c>
      <c r="J88" s="3">
        <v>9900</v>
      </c>
      <c r="K88" s="3">
        <v>9900</v>
      </c>
      <c r="L88" s="3">
        <v>9900</v>
      </c>
      <c r="M88" s="3">
        <v>9900</v>
      </c>
      <c r="N88" s="3">
        <v>9900</v>
      </c>
      <c r="O88" s="3">
        <v>9900</v>
      </c>
      <c r="P88" s="3">
        <v>9900</v>
      </c>
      <c r="Q88" s="3">
        <v>9900</v>
      </c>
      <c r="Y88" s="4"/>
      <c r="Z88" s="4"/>
      <c r="AA88" s="4"/>
      <c r="AB88" s="4"/>
    </row>
    <row r="89" spans="1:28" ht="13.5">
      <c r="A89" s="148" t="s">
        <v>202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Y89" s="4"/>
      <c r="Z89" s="4"/>
      <c r="AA89" s="4"/>
      <c r="AB89" s="4"/>
    </row>
    <row r="90" spans="1:28" ht="13.5">
      <c r="A90" s="148" t="s">
        <v>203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Y90" s="4"/>
      <c r="Z90" s="4"/>
      <c r="AA90" s="4"/>
      <c r="AB90" s="4"/>
    </row>
    <row r="91" spans="1:28" ht="13.5">
      <c r="A91" s="150" t="s">
        <v>135</v>
      </c>
      <c r="B91" s="156">
        <v>9900</v>
      </c>
      <c r="C91" s="156">
        <v>9900</v>
      </c>
      <c r="D91" s="156">
        <v>9900</v>
      </c>
      <c r="E91" s="156">
        <v>9900</v>
      </c>
      <c r="F91" s="156">
        <v>9900</v>
      </c>
      <c r="G91" s="156">
        <v>9900</v>
      </c>
      <c r="H91" s="156">
        <v>9900</v>
      </c>
      <c r="I91" s="156">
        <v>9900</v>
      </c>
      <c r="J91" s="156">
        <v>9900</v>
      </c>
      <c r="K91" s="156">
        <v>9900</v>
      </c>
      <c r="L91" s="156">
        <v>9900</v>
      </c>
      <c r="M91" s="156">
        <v>9900</v>
      </c>
      <c r="N91" s="156">
        <v>9900</v>
      </c>
      <c r="O91" s="156">
        <v>9900</v>
      </c>
      <c r="P91" s="156">
        <v>9900</v>
      </c>
      <c r="Q91" s="156">
        <v>9900</v>
      </c>
      <c r="Y91" s="4"/>
      <c r="Z91" s="4"/>
      <c r="AA91" s="4"/>
      <c r="AB91" s="4"/>
    </row>
    <row r="92" spans="1:28" ht="13.5">
      <c r="A92" s="152" t="s">
        <v>204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Y92" s="4"/>
      <c r="Z92" s="4"/>
      <c r="AA92" s="4"/>
      <c r="AB92" s="4"/>
    </row>
    <row r="93" spans="1:28" ht="13.5">
      <c r="A93" s="148" t="s">
        <v>205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Y93" s="4"/>
      <c r="Z93" s="4"/>
      <c r="AA93" s="4"/>
      <c r="AB93" s="4"/>
    </row>
    <row r="94" spans="1:28" ht="13.5">
      <c r="A94" s="148" t="s">
        <v>206</v>
      </c>
      <c r="B94" s="3"/>
      <c r="C94" s="3">
        <v>28277</v>
      </c>
      <c r="D94" s="3">
        <v>25449</v>
      </c>
      <c r="E94" s="3">
        <v>25449</v>
      </c>
      <c r="F94" s="3">
        <v>63263</v>
      </c>
      <c r="G94" s="3">
        <v>53817</v>
      </c>
      <c r="H94" s="3">
        <v>53916</v>
      </c>
      <c r="I94" s="3">
        <v>53781</v>
      </c>
      <c r="J94" s="3">
        <v>254473</v>
      </c>
      <c r="K94" s="3">
        <v>254473</v>
      </c>
      <c r="L94" s="3">
        <v>254473</v>
      </c>
      <c r="M94" s="3">
        <v>254473</v>
      </c>
      <c r="N94" s="3">
        <v>254473</v>
      </c>
      <c r="O94" s="3">
        <v>254473</v>
      </c>
      <c r="P94" s="3">
        <v>254473</v>
      </c>
      <c r="Q94" s="3">
        <v>254473</v>
      </c>
      <c r="Y94" s="4"/>
      <c r="Z94" s="4"/>
      <c r="AA94" s="4"/>
      <c r="AB94" s="4"/>
    </row>
    <row r="95" spans="1:28" ht="13.5">
      <c r="A95" s="148" t="s">
        <v>207</v>
      </c>
      <c r="B95" s="85"/>
      <c r="C95" s="85">
        <v>0</v>
      </c>
      <c r="D95" s="85">
        <v>0</v>
      </c>
      <c r="E95" s="85">
        <v>0</v>
      </c>
      <c r="F95" s="85">
        <v>404582</v>
      </c>
      <c r="G95" s="85">
        <v>197171</v>
      </c>
      <c r="H95" s="85">
        <v>82623</v>
      </c>
      <c r="I95" s="85">
        <v>45814</v>
      </c>
      <c r="J95" s="85">
        <v>44123</v>
      </c>
      <c r="K95" s="85">
        <v>44123</v>
      </c>
      <c r="L95" s="85">
        <v>44123</v>
      </c>
      <c r="M95" s="85">
        <v>44123</v>
      </c>
      <c r="N95" s="85">
        <v>44123</v>
      </c>
      <c r="O95" s="85">
        <v>44123</v>
      </c>
      <c r="P95" s="85">
        <v>44123</v>
      </c>
      <c r="Q95" s="85">
        <v>44123</v>
      </c>
      <c r="Y95" s="4"/>
      <c r="Z95" s="4"/>
      <c r="AA95" s="4"/>
      <c r="AB95" s="4"/>
    </row>
    <row r="96" spans="1:28" ht="13.5">
      <c r="A96" s="150" t="s">
        <v>208</v>
      </c>
      <c r="B96" s="156">
        <v>0</v>
      </c>
      <c r="C96" s="156">
        <v>28277</v>
      </c>
      <c r="D96" s="156">
        <v>25449</v>
      </c>
      <c r="E96" s="156">
        <v>25449</v>
      </c>
      <c r="F96" s="156">
        <v>467845</v>
      </c>
      <c r="G96" s="156">
        <v>250988</v>
      </c>
      <c r="H96" s="156">
        <v>136539</v>
      </c>
      <c r="I96" s="156">
        <v>99595</v>
      </c>
      <c r="J96" s="156">
        <v>298596</v>
      </c>
      <c r="K96" s="156">
        <v>298596</v>
      </c>
      <c r="L96" s="156">
        <v>298596</v>
      </c>
      <c r="M96" s="156">
        <v>298596</v>
      </c>
      <c r="N96" s="156">
        <v>298596</v>
      </c>
      <c r="O96" s="156">
        <v>298596</v>
      </c>
      <c r="P96" s="156">
        <v>298596</v>
      </c>
      <c r="Q96" s="156">
        <v>298596</v>
      </c>
      <c r="V96" s="5"/>
      <c r="Y96" s="4"/>
      <c r="Z96" s="4"/>
      <c r="AA96" s="4"/>
      <c r="AB96" s="4"/>
    </row>
    <row r="97" spans="1:28" ht="13.5">
      <c r="A97" s="177" t="s">
        <v>209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Y97" s="4"/>
      <c r="Z97" s="4"/>
      <c r="AA97" s="4"/>
      <c r="AB97" s="4"/>
    </row>
    <row r="98" spans="1:28" ht="13.5">
      <c r="A98" s="178" t="s">
        <v>210</v>
      </c>
      <c r="B98" s="3"/>
      <c r="C98" s="3">
        <v>-293</v>
      </c>
      <c r="D98" s="3">
        <v>-3680</v>
      </c>
      <c r="E98" s="3">
        <v>-15167</v>
      </c>
      <c r="F98" s="3">
        <v>-30823</v>
      </c>
      <c r="G98" s="3">
        <v>-20703</v>
      </c>
      <c r="H98" s="3">
        <v>-19058</v>
      </c>
      <c r="I98" s="3">
        <v>-31026</v>
      </c>
      <c r="J98" s="3">
        <v>-46293</v>
      </c>
      <c r="K98" s="3">
        <v>-45604</v>
      </c>
      <c r="L98" s="3">
        <v>-38886</v>
      </c>
      <c r="M98" s="3">
        <v>-34685</v>
      </c>
      <c r="N98" s="3">
        <v>-28384</v>
      </c>
      <c r="O98" s="3">
        <v>-22136</v>
      </c>
      <c r="P98" s="3">
        <v>-16710</v>
      </c>
      <c r="Q98" s="3">
        <v>-11902</v>
      </c>
      <c r="Y98" s="4"/>
      <c r="Z98" s="4"/>
      <c r="AA98" s="4"/>
      <c r="AB98" s="4"/>
    </row>
    <row r="99" spans="1:28" ht="13.5">
      <c r="A99" s="178" t="s">
        <v>211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Y99" s="4"/>
      <c r="Z99" s="4"/>
      <c r="AA99" s="4"/>
      <c r="AB99" s="4"/>
    </row>
    <row r="100" spans="1:28" ht="13.5">
      <c r="A100" s="178" t="s">
        <v>212</v>
      </c>
      <c r="B100" s="3"/>
      <c r="C100" s="3">
        <v>-293</v>
      </c>
      <c r="D100" s="3">
        <v>-3680</v>
      </c>
      <c r="E100" s="3">
        <v>-15167</v>
      </c>
      <c r="F100" s="3">
        <v>-30823</v>
      </c>
      <c r="G100" s="3">
        <v>-20703</v>
      </c>
      <c r="H100" s="3">
        <v>-19058</v>
      </c>
      <c r="I100" s="3">
        <v>-31026</v>
      </c>
      <c r="J100" s="3">
        <v>-46293</v>
      </c>
      <c r="K100" s="3">
        <v>-45604</v>
      </c>
      <c r="L100" s="3">
        <v>-38886</v>
      </c>
      <c r="M100" s="3">
        <v>-34685</v>
      </c>
      <c r="N100" s="3">
        <v>-28384</v>
      </c>
      <c r="O100" s="3">
        <v>-22136</v>
      </c>
      <c r="P100" s="3">
        <v>-16710</v>
      </c>
      <c r="Q100" s="3">
        <v>-11902</v>
      </c>
      <c r="Y100" s="4"/>
      <c r="Z100" s="4"/>
      <c r="AA100" s="4"/>
      <c r="AB100" s="4"/>
    </row>
    <row r="101" spans="1:28" ht="13.5">
      <c r="A101" s="178" t="s">
        <v>213</v>
      </c>
      <c r="B101" s="3">
        <v>-293</v>
      </c>
      <c r="C101" s="3">
        <v>-2867</v>
      </c>
      <c r="D101" s="3">
        <v>-11460</v>
      </c>
      <c r="E101" s="3">
        <v>-15656</v>
      </c>
      <c r="F101" s="3">
        <v>1218</v>
      </c>
      <c r="G101" s="3">
        <v>1627</v>
      </c>
      <c r="H101" s="3">
        <v>-12364</v>
      </c>
      <c r="I101" s="3">
        <v>-15267</v>
      </c>
      <c r="J101" s="3">
        <v>689</v>
      </c>
      <c r="K101" s="3">
        <v>6718</v>
      </c>
      <c r="L101" s="3">
        <v>4201</v>
      </c>
      <c r="M101" s="3">
        <v>6301</v>
      </c>
      <c r="N101" s="3">
        <v>6248</v>
      </c>
      <c r="O101" s="3">
        <v>5426</v>
      </c>
      <c r="P101" s="3">
        <v>4808</v>
      </c>
      <c r="Q101" s="3">
        <v>5326</v>
      </c>
      <c r="Y101" s="4"/>
      <c r="Z101" s="4"/>
      <c r="AA101" s="4"/>
      <c r="AB101" s="4"/>
    </row>
    <row r="102" spans="1:28" ht="13.5">
      <c r="A102" s="150" t="s">
        <v>214</v>
      </c>
      <c r="B102" s="3">
        <v>-293</v>
      </c>
      <c r="C102" s="3">
        <v>-3160</v>
      </c>
      <c r="D102" s="3">
        <v>-15140</v>
      </c>
      <c r="E102" s="3">
        <v>-30823</v>
      </c>
      <c r="F102" s="3">
        <v>-29605</v>
      </c>
      <c r="G102" s="3">
        <v>-19076</v>
      </c>
      <c r="H102" s="3">
        <v>-31422</v>
      </c>
      <c r="I102" s="3">
        <v>-46293</v>
      </c>
      <c r="J102" s="3">
        <v>-45604</v>
      </c>
      <c r="K102" s="3">
        <v>-38886</v>
      </c>
      <c r="L102" s="3">
        <v>-34685</v>
      </c>
      <c r="M102" s="3">
        <v>-28384</v>
      </c>
      <c r="N102" s="3">
        <v>-22136</v>
      </c>
      <c r="O102" s="3">
        <v>-16710</v>
      </c>
      <c r="P102" s="3">
        <v>-11902</v>
      </c>
      <c r="Q102" s="3">
        <v>-6576</v>
      </c>
      <c r="Y102" s="4"/>
      <c r="Z102" s="4"/>
      <c r="AA102" s="4"/>
      <c r="AB102" s="4"/>
    </row>
    <row r="103" spans="1:28" ht="13.5">
      <c r="A103" s="164" t="s">
        <v>215</v>
      </c>
      <c r="B103" s="6">
        <v>9607</v>
      </c>
      <c r="C103" s="6">
        <v>35017</v>
      </c>
      <c r="D103" s="6">
        <v>20209</v>
      </c>
      <c r="E103" s="6">
        <v>4526</v>
      </c>
      <c r="F103" s="6">
        <v>448140</v>
      </c>
      <c r="G103" s="6">
        <v>241812</v>
      </c>
      <c r="H103" s="6">
        <v>115017</v>
      </c>
      <c r="I103" s="6">
        <v>63202</v>
      </c>
      <c r="J103" s="6">
        <v>262892</v>
      </c>
      <c r="K103" s="6">
        <v>269610</v>
      </c>
      <c r="L103" s="6">
        <v>273811</v>
      </c>
      <c r="M103" s="6">
        <v>280112</v>
      </c>
      <c r="N103" s="6">
        <v>286360</v>
      </c>
      <c r="O103" s="6">
        <v>291786</v>
      </c>
      <c r="P103" s="6">
        <v>296594</v>
      </c>
      <c r="Q103" s="6">
        <v>301920</v>
      </c>
      <c r="Y103" s="4"/>
      <c r="Z103" s="4"/>
      <c r="AA103" s="4"/>
      <c r="AB103" s="4"/>
    </row>
    <row r="104" spans="1:28" ht="13.5">
      <c r="A104" s="146" t="s">
        <v>216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T104" s="5"/>
      <c r="U104" s="5"/>
      <c r="Y104" s="4"/>
      <c r="Z104" s="4"/>
      <c r="AA104" s="4"/>
      <c r="AB104" s="4"/>
    </row>
    <row r="105" spans="1:28" ht="13.5">
      <c r="A105" s="146" t="s">
        <v>217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Y105" s="4"/>
      <c r="Z105" s="4"/>
      <c r="AA105" s="4"/>
      <c r="AB105" s="4"/>
    </row>
    <row r="106" spans="1:28" ht="13.5">
      <c r="A106" s="148" t="s">
        <v>218</v>
      </c>
      <c r="B106" s="3"/>
      <c r="C106" s="3"/>
      <c r="D106" s="3"/>
      <c r="E106" s="3"/>
      <c r="F106" s="3"/>
      <c r="G106" s="3">
        <v>96540</v>
      </c>
      <c r="H106" s="3">
        <v>137102</v>
      </c>
      <c r="I106" s="3">
        <v>91591</v>
      </c>
      <c r="J106" s="3">
        <v>67466</v>
      </c>
      <c r="K106" s="3">
        <v>43331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S106" s="5"/>
      <c r="X106" s="5"/>
      <c r="Y106" s="4"/>
      <c r="Z106" s="4"/>
      <c r="AA106" s="4"/>
      <c r="AB106" s="4"/>
    </row>
    <row r="107" spans="1:28" ht="13.5">
      <c r="A107" s="148" t="s">
        <v>219</v>
      </c>
      <c r="B107" s="3"/>
      <c r="C107" s="3"/>
      <c r="D107" s="3"/>
      <c r="E107" s="3"/>
      <c r="F107" s="3"/>
      <c r="G107" s="3">
        <v>0</v>
      </c>
      <c r="H107" s="3">
        <v>0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Y107" s="4"/>
      <c r="Z107" s="4"/>
      <c r="AA107" s="4"/>
      <c r="AB107" s="4"/>
    </row>
    <row r="108" spans="1:28" ht="13.5">
      <c r="A108" s="148" t="s">
        <v>220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Y108" s="4"/>
      <c r="Z108" s="4"/>
      <c r="AA108" s="4"/>
      <c r="AB108" s="4"/>
    </row>
    <row r="109" spans="1:28" ht="13.5">
      <c r="A109" s="148" t="s">
        <v>221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Y109" s="4"/>
      <c r="Z109" s="4"/>
      <c r="AA109" s="4"/>
      <c r="AB109" s="4"/>
    </row>
    <row r="110" spans="1:28" ht="13.5">
      <c r="A110" s="148" t="s">
        <v>222</v>
      </c>
      <c r="B110" s="3"/>
      <c r="C110" s="3"/>
      <c r="D110" s="3"/>
      <c r="E110" s="3">
        <v>2589</v>
      </c>
      <c r="F110" s="3">
        <v>5874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Y110" s="4"/>
      <c r="Z110" s="4"/>
      <c r="AA110" s="4"/>
      <c r="AB110" s="4"/>
    </row>
    <row r="111" spans="1:28" ht="13.5">
      <c r="A111" s="148" t="s">
        <v>223</v>
      </c>
      <c r="B111" s="3"/>
      <c r="C111" s="3"/>
      <c r="D111" s="3">
        <v>2066</v>
      </c>
      <c r="E111" s="3">
        <v>1668</v>
      </c>
      <c r="F111" s="3">
        <v>1333</v>
      </c>
      <c r="G111" s="3">
        <v>1787</v>
      </c>
      <c r="H111" s="3">
        <v>1585</v>
      </c>
      <c r="I111" s="3">
        <v>2238</v>
      </c>
      <c r="J111" s="3">
        <v>2036</v>
      </c>
      <c r="K111" s="3">
        <v>1834</v>
      </c>
      <c r="L111" s="3">
        <v>1632</v>
      </c>
      <c r="M111" s="3">
        <v>1430</v>
      </c>
      <c r="N111" s="3">
        <v>1228</v>
      </c>
      <c r="O111" s="3">
        <v>1026</v>
      </c>
      <c r="P111" s="3">
        <v>824</v>
      </c>
      <c r="Q111" s="3">
        <v>622</v>
      </c>
      <c r="Y111" s="4"/>
      <c r="Z111" s="4"/>
      <c r="AA111" s="4"/>
      <c r="AB111" s="4"/>
    </row>
    <row r="112" spans="1:28" ht="13.5">
      <c r="A112" s="148" t="s">
        <v>224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Y112" s="4"/>
      <c r="Z112" s="4"/>
      <c r="AA112" s="4"/>
      <c r="AB112" s="4"/>
    </row>
    <row r="113" spans="1:28" ht="13.5">
      <c r="A113" s="148" t="s">
        <v>225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Y113" s="4"/>
      <c r="Z113" s="4"/>
      <c r="AA113" s="4"/>
      <c r="AB113" s="4"/>
    </row>
    <row r="114" spans="1:28" ht="13.5">
      <c r="A114" s="148" t="s">
        <v>226</v>
      </c>
      <c r="B114" s="3"/>
      <c r="C114" s="3"/>
      <c r="D114" s="3">
        <v>2066</v>
      </c>
      <c r="E114" s="3">
        <v>1668</v>
      </c>
      <c r="F114" s="3">
        <v>1333</v>
      </c>
      <c r="G114" s="3">
        <v>1787</v>
      </c>
      <c r="H114" s="3">
        <v>1585</v>
      </c>
      <c r="I114" s="3">
        <v>2238</v>
      </c>
      <c r="J114" s="3">
        <v>2036</v>
      </c>
      <c r="K114" s="3">
        <v>1834</v>
      </c>
      <c r="L114" s="3">
        <v>1632</v>
      </c>
      <c r="M114" s="3">
        <v>1430</v>
      </c>
      <c r="N114" s="3">
        <v>1228</v>
      </c>
      <c r="O114" s="3">
        <v>1026</v>
      </c>
      <c r="P114" s="3">
        <v>824</v>
      </c>
      <c r="Q114" s="3">
        <v>622</v>
      </c>
      <c r="Y114" s="4"/>
      <c r="Z114" s="4"/>
      <c r="AA114" s="4"/>
      <c r="AB114" s="4"/>
    </row>
    <row r="115" spans="1:28" ht="13.5">
      <c r="A115" s="150" t="s">
        <v>135</v>
      </c>
      <c r="B115" s="156">
        <v>0</v>
      </c>
      <c r="C115" s="156">
        <v>0</v>
      </c>
      <c r="D115" s="156">
        <v>2066</v>
      </c>
      <c r="E115" s="156">
        <v>4257</v>
      </c>
      <c r="F115" s="156">
        <v>7207</v>
      </c>
      <c r="G115" s="156">
        <v>98327</v>
      </c>
      <c r="H115" s="156">
        <v>138687</v>
      </c>
      <c r="I115" s="156">
        <v>93829</v>
      </c>
      <c r="J115" s="156">
        <v>69502</v>
      </c>
      <c r="K115" s="156">
        <v>45165</v>
      </c>
      <c r="L115" s="156">
        <v>1632</v>
      </c>
      <c r="M115" s="156">
        <v>1430</v>
      </c>
      <c r="N115" s="156">
        <v>1228</v>
      </c>
      <c r="O115" s="156">
        <v>1026</v>
      </c>
      <c r="P115" s="156">
        <v>824</v>
      </c>
      <c r="Q115" s="156">
        <v>622</v>
      </c>
      <c r="Y115" s="4"/>
      <c r="Z115" s="4"/>
      <c r="AA115" s="4"/>
      <c r="AB115" s="4"/>
    </row>
    <row r="116" spans="1:28" ht="13.5">
      <c r="A116" s="152" t="s">
        <v>227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Y116" s="4"/>
      <c r="Z116" s="4"/>
      <c r="AA116" s="4"/>
      <c r="AB116" s="4"/>
    </row>
    <row r="117" spans="1:28" ht="13.5">
      <c r="A117" s="150" t="s">
        <v>228</v>
      </c>
      <c r="B117" s="3"/>
      <c r="C117" s="3"/>
      <c r="D117" s="3">
        <v>2530</v>
      </c>
      <c r="E117" s="3">
        <v>21297</v>
      </c>
      <c r="F117" s="3">
        <v>45249</v>
      </c>
      <c r="G117" s="3">
        <v>0</v>
      </c>
      <c r="H117" s="3">
        <v>0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Y117" s="4"/>
      <c r="Z117" s="4"/>
      <c r="AA117" s="4"/>
      <c r="AB117" s="4"/>
    </row>
    <row r="118" spans="1:28" ht="13.5">
      <c r="A118" s="164" t="s">
        <v>229</v>
      </c>
      <c r="B118" s="6">
        <v>0</v>
      </c>
      <c r="C118" s="6">
        <v>0</v>
      </c>
      <c r="D118" s="6">
        <v>4596</v>
      </c>
      <c r="E118" s="6">
        <v>25554</v>
      </c>
      <c r="F118" s="6">
        <v>52456</v>
      </c>
      <c r="G118" s="6">
        <v>98327</v>
      </c>
      <c r="H118" s="6">
        <v>138687</v>
      </c>
      <c r="I118" s="6">
        <v>93829</v>
      </c>
      <c r="J118" s="6">
        <v>69502</v>
      </c>
      <c r="K118" s="6">
        <v>45165</v>
      </c>
      <c r="L118" s="6">
        <v>1632</v>
      </c>
      <c r="M118" s="6">
        <v>1430</v>
      </c>
      <c r="N118" s="6">
        <v>1228</v>
      </c>
      <c r="O118" s="6">
        <v>1026</v>
      </c>
      <c r="P118" s="6">
        <v>824</v>
      </c>
      <c r="Q118" s="6">
        <v>622</v>
      </c>
      <c r="Y118" s="4"/>
      <c r="Z118" s="4"/>
      <c r="AA118" s="4"/>
      <c r="AB118" s="4"/>
    </row>
    <row r="119" spans="1:28" ht="13.5">
      <c r="A119" s="152" t="s">
        <v>230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Y119" s="4"/>
      <c r="Z119" s="4"/>
      <c r="AA119" s="4"/>
      <c r="AB119" s="4"/>
    </row>
    <row r="120" spans="1:28" ht="13.5">
      <c r="A120" s="177" t="s">
        <v>231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Y120" s="4"/>
      <c r="Z120" s="4"/>
      <c r="AA120" s="4"/>
      <c r="AB120" s="4"/>
    </row>
    <row r="121" spans="1:28" ht="13.5">
      <c r="A121" s="148" t="s">
        <v>232</v>
      </c>
      <c r="B121" s="3">
        <v>5385</v>
      </c>
      <c r="C121" s="3">
        <v>8729</v>
      </c>
      <c r="D121" s="3">
        <v>13950</v>
      </c>
      <c r="E121" s="3">
        <v>51944</v>
      </c>
      <c r="F121" s="3">
        <v>22922</v>
      </c>
      <c r="G121" s="3">
        <v>4237</v>
      </c>
      <c r="H121" s="3">
        <v>1615</v>
      </c>
      <c r="I121" s="3">
        <v>1684</v>
      </c>
      <c r="J121" s="3">
        <v>1684</v>
      </c>
      <c r="K121" s="3">
        <v>1684</v>
      </c>
      <c r="L121" s="3">
        <v>1684</v>
      </c>
      <c r="M121" s="3">
        <v>1684</v>
      </c>
      <c r="N121" s="3">
        <v>1684</v>
      </c>
      <c r="O121" s="3">
        <v>1684</v>
      </c>
      <c r="P121" s="3">
        <v>1684</v>
      </c>
      <c r="Q121" s="3">
        <v>1684</v>
      </c>
      <c r="Y121" s="4"/>
      <c r="Z121" s="4"/>
      <c r="AA121" s="4"/>
      <c r="AB121" s="4"/>
    </row>
    <row r="122" spans="1:28" ht="13.5">
      <c r="A122" s="148" t="s">
        <v>233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T122" s="5"/>
      <c r="U122" s="5"/>
      <c r="Y122" s="4"/>
      <c r="Z122" s="4"/>
      <c r="AA122" s="4"/>
      <c r="AB122" s="4"/>
    </row>
    <row r="123" spans="1:28" ht="13.5">
      <c r="A123" s="148" t="s">
        <v>220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Y123" s="4"/>
      <c r="Z123" s="4"/>
      <c r="AA123" s="4"/>
      <c r="AB123" s="4"/>
    </row>
    <row r="124" spans="1:28" ht="13.5">
      <c r="A124" s="148" t="s">
        <v>234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Y124" s="4"/>
      <c r="Z124" s="4"/>
      <c r="AA124" s="4"/>
      <c r="AB124" s="4"/>
    </row>
    <row r="125" spans="1:28" ht="13.5">
      <c r="A125" s="148" t="s">
        <v>235</v>
      </c>
      <c r="B125" s="3">
        <v>2037</v>
      </c>
      <c r="C125" s="3">
        <v>2576</v>
      </c>
      <c r="D125" s="3">
        <v>1120</v>
      </c>
      <c r="E125" s="3">
        <v>4172</v>
      </c>
      <c r="F125" s="3">
        <v>6293</v>
      </c>
      <c r="G125" s="3">
        <v>12222</v>
      </c>
      <c r="H125" s="3">
        <v>11163</v>
      </c>
      <c r="I125" s="3">
        <v>9961</v>
      </c>
      <c r="J125" s="3">
        <v>9961</v>
      </c>
      <c r="K125" s="3">
        <v>9461</v>
      </c>
      <c r="L125" s="3">
        <v>8961</v>
      </c>
      <c r="M125" s="3">
        <v>8461</v>
      </c>
      <c r="N125" s="3">
        <v>7961</v>
      </c>
      <c r="O125" s="3">
        <v>7461</v>
      </c>
      <c r="P125" s="3">
        <v>6961</v>
      </c>
      <c r="Q125" s="3">
        <v>6461</v>
      </c>
      <c r="Y125" s="4"/>
      <c r="Z125" s="4"/>
      <c r="AA125" s="4"/>
      <c r="AB125" s="4"/>
    </row>
    <row r="126" spans="1:28" ht="13.5">
      <c r="A126" s="148" t="s">
        <v>236</v>
      </c>
      <c r="B126" s="3">
        <v>2</v>
      </c>
      <c r="C126" s="3">
        <v>5</v>
      </c>
      <c r="D126" s="3">
        <v>6</v>
      </c>
      <c r="E126" s="3"/>
      <c r="F126" s="3"/>
      <c r="G126" s="3">
        <v>47</v>
      </c>
      <c r="H126" s="3">
        <v>16</v>
      </c>
      <c r="I126" s="3">
        <v>54</v>
      </c>
      <c r="J126" s="3">
        <v>54</v>
      </c>
      <c r="K126" s="3">
        <v>54</v>
      </c>
      <c r="L126" s="3">
        <v>54</v>
      </c>
      <c r="M126" s="3">
        <v>54</v>
      </c>
      <c r="N126" s="3">
        <v>54</v>
      </c>
      <c r="O126" s="3">
        <v>54</v>
      </c>
      <c r="P126" s="3">
        <v>54</v>
      </c>
      <c r="Q126" s="3">
        <v>54</v>
      </c>
      <c r="T126" s="5"/>
      <c r="U126" s="5"/>
      <c r="Y126" s="4"/>
      <c r="Z126" s="4"/>
      <c r="AA126" s="4"/>
      <c r="AB126" s="4"/>
    </row>
    <row r="127" spans="1:28" ht="13.5">
      <c r="A127" s="148" t="s">
        <v>237</v>
      </c>
      <c r="B127" s="3">
        <v>207</v>
      </c>
      <c r="C127" s="3">
        <v>6416</v>
      </c>
      <c r="D127" s="3">
        <v>3562</v>
      </c>
      <c r="E127" s="3">
        <v>309</v>
      </c>
      <c r="F127" s="3">
        <v>659</v>
      </c>
      <c r="G127" s="3">
        <v>479</v>
      </c>
      <c r="H127" s="3">
        <v>3271</v>
      </c>
      <c r="I127" s="3">
        <v>660</v>
      </c>
      <c r="J127" s="3">
        <v>660</v>
      </c>
      <c r="K127" s="3">
        <v>660</v>
      </c>
      <c r="L127" s="3">
        <v>660</v>
      </c>
      <c r="M127" s="3">
        <v>660</v>
      </c>
      <c r="N127" s="3">
        <v>660</v>
      </c>
      <c r="O127" s="3">
        <v>660</v>
      </c>
      <c r="P127" s="3">
        <v>660</v>
      </c>
      <c r="Q127" s="3">
        <v>660</v>
      </c>
      <c r="T127" s="5"/>
      <c r="U127" s="5"/>
      <c r="Y127" s="4"/>
      <c r="Z127" s="4"/>
      <c r="AA127" s="4"/>
      <c r="AB127" s="4"/>
    </row>
    <row r="128" spans="1:28" ht="13.5">
      <c r="A128" s="148" t="s">
        <v>238</v>
      </c>
      <c r="B128" s="3">
        <v>5806</v>
      </c>
      <c r="C128" s="3">
        <v>5674</v>
      </c>
      <c r="D128" s="3">
        <v>4473</v>
      </c>
      <c r="E128" s="3">
        <v>3319</v>
      </c>
      <c r="F128" s="3">
        <v>6618</v>
      </c>
      <c r="G128" s="3">
        <v>5819</v>
      </c>
      <c r="H128" s="3">
        <v>5545</v>
      </c>
      <c r="I128" s="3">
        <v>8861</v>
      </c>
      <c r="J128" s="3">
        <v>8861</v>
      </c>
      <c r="K128" s="3">
        <v>6500</v>
      </c>
      <c r="L128" s="3">
        <v>6000</v>
      </c>
      <c r="M128" s="3">
        <v>5500</v>
      </c>
      <c r="N128" s="3">
        <v>5000</v>
      </c>
      <c r="O128" s="3">
        <v>4500</v>
      </c>
      <c r="P128" s="3">
        <v>4750</v>
      </c>
      <c r="Q128" s="3">
        <v>5000</v>
      </c>
      <c r="Y128" s="4"/>
      <c r="Z128" s="4"/>
      <c r="AA128" s="4"/>
      <c r="AB128" s="4"/>
    </row>
    <row r="129" spans="1:28" ht="13.5">
      <c r="A129" s="148" t="s">
        <v>239</v>
      </c>
      <c r="B129" s="3">
        <v>1348</v>
      </c>
      <c r="C129" s="3">
        <v>1389</v>
      </c>
      <c r="D129" s="3">
        <v>2141</v>
      </c>
      <c r="E129" s="3">
        <v>1110</v>
      </c>
      <c r="F129" s="3">
        <v>2283</v>
      </c>
      <c r="G129" s="3">
        <v>1929</v>
      </c>
      <c r="H129" s="3">
        <v>1851</v>
      </c>
      <c r="I129" s="3">
        <v>2349</v>
      </c>
      <c r="J129" s="3">
        <v>2349</v>
      </c>
      <c r="K129" s="3">
        <v>1723</v>
      </c>
      <c r="L129" s="3">
        <v>1590</v>
      </c>
      <c r="M129" s="3">
        <v>1458</v>
      </c>
      <c r="N129" s="3">
        <v>1325</v>
      </c>
      <c r="O129" s="3">
        <v>1193</v>
      </c>
      <c r="P129" s="3">
        <v>1259</v>
      </c>
      <c r="Q129" s="3">
        <v>1325</v>
      </c>
      <c r="Y129" s="4"/>
      <c r="Z129" s="4"/>
      <c r="AA129" s="4"/>
      <c r="AB129" s="4"/>
    </row>
    <row r="130" spans="1:28" ht="13.5">
      <c r="A130" s="148" t="s">
        <v>240</v>
      </c>
      <c r="B130" s="3">
        <v>4997</v>
      </c>
      <c r="C130" s="3">
        <v>6025</v>
      </c>
      <c r="D130" s="3">
        <v>3050</v>
      </c>
      <c r="E130" s="3">
        <v>2472</v>
      </c>
      <c r="F130" s="3">
        <v>1441</v>
      </c>
      <c r="G130" s="3">
        <v>102169</v>
      </c>
      <c r="H130" s="3">
        <v>103067</v>
      </c>
      <c r="I130" s="3">
        <v>115904</v>
      </c>
      <c r="J130" s="3">
        <v>91963</v>
      </c>
      <c r="K130" s="3">
        <v>103536</v>
      </c>
      <c r="L130" s="3">
        <v>136411</v>
      </c>
      <c r="M130" s="3">
        <v>120243</v>
      </c>
      <c r="N130" s="3">
        <v>112561</v>
      </c>
      <c r="O130" s="3">
        <v>92212</v>
      </c>
      <c r="P130" s="3">
        <v>74219</v>
      </c>
      <c r="Q130" s="3">
        <v>16460</v>
      </c>
      <c r="Y130" s="4"/>
      <c r="Z130" s="4"/>
      <c r="AA130" s="4"/>
      <c r="AB130" s="4"/>
    </row>
    <row r="131" spans="1:28" ht="13.5">
      <c r="A131" s="148" t="s">
        <v>241</v>
      </c>
      <c r="B131" s="3">
        <v>121</v>
      </c>
      <c r="C131" s="3">
        <v>160</v>
      </c>
      <c r="D131" s="3">
        <v>1134</v>
      </c>
      <c r="E131" s="3">
        <v>1093</v>
      </c>
      <c r="F131" s="3">
        <v>823</v>
      </c>
      <c r="G131" s="3">
        <v>740</v>
      </c>
      <c r="H131" s="3">
        <v>106</v>
      </c>
      <c r="I131" s="3">
        <v>121</v>
      </c>
      <c r="J131" s="3">
        <v>121</v>
      </c>
      <c r="K131" s="3">
        <v>121</v>
      </c>
      <c r="L131" s="3">
        <v>121</v>
      </c>
      <c r="M131" s="3">
        <v>121</v>
      </c>
      <c r="N131" s="3">
        <v>121</v>
      </c>
      <c r="O131" s="3">
        <v>121</v>
      </c>
      <c r="P131" s="3">
        <v>121</v>
      </c>
      <c r="Q131" s="3">
        <v>121</v>
      </c>
      <c r="Y131" s="4"/>
      <c r="Z131" s="4"/>
      <c r="AA131" s="4"/>
      <c r="AB131" s="4"/>
    </row>
    <row r="132" spans="1:28" ht="13.5">
      <c r="A132" s="148" t="s">
        <v>242</v>
      </c>
      <c r="B132" s="3"/>
      <c r="C132" s="3"/>
      <c r="D132" s="3"/>
      <c r="E132" s="3"/>
      <c r="F132" s="3"/>
      <c r="G132" s="3">
        <v>4875</v>
      </c>
      <c r="H132" s="3">
        <v>8851</v>
      </c>
      <c r="I132" s="3">
        <v>12285</v>
      </c>
      <c r="J132" s="3">
        <v>12285</v>
      </c>
      <c r="K132" s="3">
        <v>11285</v>
      </c>
      <c r="L132" s="3">
        <v>10285</v>
      </c>
      <c r="M132" s="3">
        <v>9285</v>
      </c>
      <c r="N132" s="3">
        <v>8285</v>
      </c>
      <c r="O132" s="3">
        <v>7285</v>
      </c>
      <c r="P132" s="3">
        <v>7285</v>
      </c>
      <c r="Q132" s="3">
        <v>7285</v>
      </c>
      <c r="Y132" s="4"/>
      <c r="Z132" s="4"/>
      <c r="AA132" s="4"/>
      <c r="AB132" s="4"/>
    </row>
    <row r="133" spans="1:28" ht="13.5">
      <c r="A133" s="150" t="s">
        <v>135</v>
      </c>
      <c r="B133" s="156">
        <v>19903</v>
      </c>
      <c r="C133" s="156">
        <v>30974</v>
      </c>
      <c r="D133" s="156">
        <v>29436</v>
      </c>
      <c r="E133" s="156">
        <v>64419</v>
      </c>
      <c r="F133" s="156">
        <v>41039</v>
      </c>
      <c r="G133" s="156">
        <v>132517</v>
      </c>
      <c r="H133" s="156">
        <v>135485</v>
      </c>
      <c r="I133" s="156">
        <v>151879</v>
      </c>
      <c r="J133" s="156">
        <v>127938</v>
      </c>
      <c r="K133" s="156">
        <v>135024</v>
      </c>
      <c r="L133" s="156">
        <v>165766</v>
      </c>
      <c r="M133" s="156">
        <v>147466</v>
      </c>
      <c r="N133" s="156">
        <v>137651</v>
      </c>
      <c r="O133" s="156">
        <v>115170</v>
      </c>
      <c r="P133" s="156">
        <v>96993</v>
      </c>
      <c r="Q133" s="156">
        <v>39050</v>
      </c>
      <c r="Y133" s="4"/>
      <c r="Z133" s="4"/>
      <c r="AA133" s="4"/>
      <c r="AB133" s="4"/>
    </row>
    <row r="134" spans="1:28" ht="13.5">
      <c r="A134" s="179" t="s">
        <v>227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Y134" s="4"/>
      <c r="Z134" s="4"/>
      <c r="AA134" s="4"/>
      <c r="AB134" s="4"/>
    </row>
    <row r="135" spans="1:28" ht="13.5">
      <c r="A135" s="148" t="s">
        <v>243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Y135" s="4"/>
      <c r="Z135" s="4"/>
      <c r="AA135" s="4"/>
      <c r="AB135" s="4"/>
    </row>
    <row r="136" spans="1:28" ht="13.5">
      <c r="A136" s="148" t="s">
        <v>244</v>
      </c>
      <c r="B136" s="181">
        <v>1425</v>
      </c>
      <c r="C136" s="181">
        <v>1324</v>
      </c>
      <c r="D136" s="181">
        <v>1234</v>
      </c>
      <c r="E136" s="181">
        <v>21</v>
      </c>
      <c r="F136" s="181">
        <v>2901</v>
      </c>
      <c r="G136" s="181">
        <v>67436</v>
      </c>
      <c r="H136" s="181">
        <v>82144</v>
      </c>
      <c r="I136" s="181">
        <v>93763</v>
      </c>
      <c r="J136" s="181">
        <v>91660</v>
      </c>
      <c r="K136" s="181">
        <v>143712</v>
      </c>
      <c r="L136" s="181">
        <v>195763</v>
      </c>
      <c r="M136" s="181">
        <v>247812</v>
      </c>
      <c r="N136" s="181">
        <v>283361</v>
      </c>
      <c r="O136" s="181">
        <v>308412</v>
      </c>
      <c r="P136" s="181">
        <v>319460</v>
      </c>
      <c r="Q136" s="181">
        <v>323511</v>
      </c>
      <c r="Y136" s="4"/>
      <c r="Z136" s="4"/>
      <c r="AA136" s="4"/>
      <c r="AB136" s="4"/>
    </row>
    <row r="137" spans="1:28" ht="13.5">
      <c r="A137" s="148" t="s">
        <v>245</v>
      </c>
      <c r="B137" s="3">
        <v>1425</v>
      </c>
      <c r="C137" s="3">
        <v>1305</v>
      </c>
      <c r="D137" s="3">
        <v>1216</v>
      </c>
      <c r="E137" s="3"/>
      <c r="F137" s="3"/>
      <c r="G137" s="3">
        <v>66843</v>
      </c>
      <c r="H137" s="3">
        <v>81551</v>
      </c>
      <c r="I137" s="3">
        <v>93177</v>
      </c>
      <c r="J137" s="3">
        <v>91074</v>
      </c>
      <c r="K137" s="3">
        <v>143126</v>
      </c>
      <c r="L137" s="3">
        <v>195177</v>
      </c>
      <c r="M137" s="3">
        <v>247226</v>
      </c>
      <c r="N137" s="3">
        <v>282775</v>
      </c>
      <c r="O137" s="3">
        <v>307826</v>
      </c>
      <c r="P137" s="3">
        <v>318874</v>
      </c>
      <c r="Q137" s="3">
        <v>322925</v>
      </c>
      <c r="R137" s="5"/>
      <c r="Y137" s="4"/>
      <c r="Z137" s="4"/>
      <c r="AA137" s="4"/>
      <c r="AB137" s="4"/>
    </row>
    <row r="138" spans="1:28" ht="13.5">
      <c r="A138" s="148" t="s">
        <v>246</v>
      </c>
      <c r="B138" s="3"/>
      <c r="C138" s="3">
        <v>19</v>
      </c>
      <c r="D138" s="3">
        <v>19</v>
      </c>
      <c r="E138" s="3">
        <v>23</v>
      </c>
      <c r="F138" s="3">
        <v>2901</v>
      </c>
      <c r="G138" s="3">
        <v>593</v>
      </c>
      <c r="H138" s="3">
        <v>593</v>
      </c>
      <c r="I138" s="3">
        <v>586</v>
      </c>
      <c r="J138" s="3">
        <v>586</v>
      </c>
      <c r="K138" s="3">
        <v>586</v>
      </c>
      <c r="L138" s="3">
        <v>586</v>
      </c>
      <c r="M138" s="3">
        <v>586</v>
      </c>
      <c r="N138" s="3">
        <v>586</v>
      </c>
      <c r="O138" s="3">
        <v>586</v>
      </c>
      <c r="P138" s="3">
        <v>586</v>
      </c>
      <c r="Q138" s="3">
        <v>586</v>
      </c>
      <c r="R138" s="5"/>
      <c r="S138" s="231"/>
      <c r="T138" s="3"/>
      <c r="U138" s="3"/>
      <c r="V138" s="3"/>
      <c r="W138" s="3"/>
      <c r="X138" s="3"/>
      <c r="Y138" s="3"/>
      <c r="Z138" s="3"/>
      <c r="AA138" s="3"/>
      <c r="AB138" s="4"/>
    </row>
    <row r="139" spans="1:28" ht="13.5">
      <c r="A139" s="148" t="s">
        <v>247</v>
      </c>
      <c r="B139" s="3"/>
      <c r="C139" s="3"/>
      <c r="D139" s="3"/>
      <c r="E139" s="3"/>
      <c r="F139" s="3"/>
      <c r="G139" s="3">
        <v>9</v>
      </c>
      <c r="H139" s="3">
        <v>9</v>
      </c>
      <c r="I139" s="3">
        <v>9</v>
      </c>
      <c r="J139" s="3">
        <v>9</v>
      </c>
      <c r="K139" s="3">
        <v>9</v>
      </c>
      <c r="L139" s="3">
        <v>9</v>
      </c>
      <c r="M139" s="3">
        <v>9</v>
      </c>
      <c r="N139" s="3">
        <v>9</v>
      </c>
      <c r="O139" s="3">
        <v>9</v>
      </c>
      <c r="P139" s="3">
        <v>9</v>
      </c>
      <c r="Q139" s="3">
        <v>9</v>
      </c>
      <c r="R139" s="5"/>
      <c r="S139" s="232"/>
      <c r="T139" s="5"/>
      <c r="U139" s="5"/>
      <c r="Y139" s="4"/>
      <c r="Z139" s="4"/>
      <c r="AA139" s="4"/>
      <c r="AB139" s="4"/>
    </row>
    <row r="140" spans="1:28" ht="13.5">
      <c r="A140" s="150" t="s">
        <v>248</v>
      </c>
      <c r="B140" s="156">
        <v>1425</v>
      </c>
      <c r="C140" s="156">
        <v>1324</v>
      </c>
      <c r="D140" s="156">
        <v>1235</v>
      </c>
      <c r="E140" s="156">
        <v>21</v>
      </c>
      <c r="F140" s="156">
        <v>2901</v>
      </c>
      <c r="G140" s="156">
        <v>67445</v>
      </c>
      <c r="H140" s="156">
        <v>82153</v>
      </c>
      <c r="I140" s="156">
        <v>93772</v>
      </c>
      <c r="J140" s="156">
        <v>91669</v>
      </c>
      <c r="K140" s="156">
        <v>143721</v>
      </c>
      <c r="L140" s="156">
        <v>195772</v>
      </c>
      <c r="M140" s="156">
        <v>247821</v>
      </c>
      <c r="N140" s="156">
        <v>283370</v>
      </c>
      <c r="O140" s="156">
        <v>308421</v>
      </c>
      <c r="P140" s="156">
        <v>319469</v>
      </c>
      <c r="Q140" s="156">
        <v>323520</v>
      </c>
      <c r="S140" s="233"/>
      <c r="T140" s="3"/>
      <c r="U140" s="3"/>
      <c r="V140" s="3"/>
      <c r="W140" s="3"/>
      <c r="X140" s="3"/>
      <c r="Y140" s="3"/>
      <c r="Z140" s="3"/>
      <c r="AA140" s="3"/>
      <c r="AB140" s="4"/>
    </row>
    <row r="141" spans="1:28" ht="13.5">
      <c r="A141" s="158" t="s">
        <v>249</v>
      </c>
      <c r="B141" s="6">
        <v>21328</v>
      </c>
      <c r="C141" s="6">
        <v>32298</v>
      </c>
      <c r="D141" s="6">
        <v>30671</v>
      </c>
      <c r="E141" s="6">
        <v>64440</v>
      </c>
      <c r="F141" s="6">
        <v>43940</v>
      </c>
      <c r="G141" s="6">
        <v>199962</v>
      </c>
      <c r="H141" s="6">
        <v>217638</v>
      </c>
      <c r="I141" s="6">
        <v>245651</v>
      </c>
      <c r="J141" s="6">
        <v>219607</v>
      </c>
      <c r="K141" s="6">
        <v>278745</v>
      </c>
      <c r="L141" s="6">
        <v>361538</v>
      </c>
      <c r="M141" s="6">
        <v>395287</v>
      </c>
      <c r="N141" s="6">
        <v>421021</v>
      </c>
      <c r="O141" s="6">
        <v>423591</v>
      </c>
      <c r="P141" s="6">
        <v>416462</v>
      </c>
      <c r="Q141" s="6">
        <v>362570</v>
      </c>
      <c r="T141" s="5"/>
      <c r="U141" s="5"/>
      <c r="V141" s="5"/>
      <c r="Y141" s="4"/>
      <c r="Z141" s="4"/>
      <c r="AA141" s="4"/>
      <c r="AB141" s="4"/>
    </row>
    <row r="142" spans="1:28" ht="13.5">
      <c r="A142" s="655" t="s">
        <v>250</v>
      </c>
      <c r="B142" s="654">
        <v>30935</v>
      </c>
      <c r="C142" s="654">
        <v>67315</v>
      </c>
      <c r="D142" s="654">
        <v>55476</v>
      </c>
      <c r="E142" s="654">
        <v>94520</v>
      </c>
      <c r="F142" s="654">
        <v>544536</v>
      </c>
      <c r="G142" s="654">
        <v>540101</v>
      </c>
      <c r="H142" s="654">
        <v>471342</v>
      </c>
      <c r="I142" s="654">
        <v>402682</v>
      </c>
      <c r="J142" s="654">
        <v>552001</v>
      </c>
      <c r="K142" s="654">
        <v>593520</v>
      </c>
      <c r="L142" s="654">
        <v>636981</v>
      </c>
      <c r="M142" s="654">
        <v>676829</v>
      </c>
      <c r="N142" s="654">
        <v>708609</v>
      </c>
      <c r="O142" s="654">
        <v>716403</v>
      </c>
      <c r="P142" s="654">
        <v>713880</v>
      </c>
      <c r="Q142" s="654">
        <v>665112</v>
      </c>
      <c r="T142" s="5"/>
      <c r="U142" s="5"/>
      <c r="V142" s="5"/>
      <c r="Y142" s="4"/>
      <c r="Z142" s="4"/>
      <c r="AA142" s="4"/>
      <c r="AB142" s="4"/>
    </row>
    <row r="143" spans="1:28" ht="15" customHeight="1">
      <c r="A143" s="183" t="s">
        <v>251</v>
      </c>
      <c r="B143" s="185">
        <v>3545</v>
      </c>
      <c r="C143" s="185">
        <v>3456</v>
      </c>
      <c r="D143" s="185">
        <v>4035</v>
      </c>
      <c r="E143" s="185">
        <v>3892</v>
      </c>
      <c r="F143" s="185">
        <v>8798</v>
      </c>
      <c r="G143" s="185">
        <v>71842</v>
      </c>
      <c r="H143" s="185">
        <v>12299</v>
      </c>
      <c r="I143" s="185"/>
      <c r="J143" s="185"/>
      <c r="K143" s="185"/>
      <c r="L143" s="185"/>
      <c r="M143" s="185"/>
      <c r="N143" s="185"/>
      <c r="O143" s="185"/>
      <c r="P143" s="185"/>
      <c r="Q143" s="185"/>
      <c r="Y143" s="4"/>
      <c r="Z143" s="4"/>
      <c r="AA143" s="4"/>
      <c r="AB143" s="4"/>
    </row>
    <row r="144" spans="2:28" ht="13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Y144" s="4"/>
      <c r="Z144" s="4"/>
      <c r="AA144" s="4"/>
      <c r="AB144" s="4"/>
    </row>
    <row r="145" spans="2:11" ht="13.5">
      <c r="B145" s="5"/>
      <c r="C145" s="5"/>
      <c r="D145" s="5"/>
      <c r="E145" s="5"/>
      <c r="F145" s="5"/>
      <c r="G145" s="5"/>
      <c r="H145" s="5"/>
      <c r="I145" s="5"/>
      <c r="J145" s="5"/>
      <c r="K145" s="367"/>
    </row>
    <row r="146" spans="2:17" ht="13.5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</sheetData>
  <sheetProtection/>
  <mergeCells count="2">
    <mergeCell ref="K2:L2"/>
    <mergeCell ref="O2:Q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22">
      <selection activeCell="D28" sqref="D28"/>
    </sheetView>
  </sheetViews>
  <sheetFormatPr defaultColWidth="9.140625" defaultRowHeight="12.75"/>
  <cols>
    <col min="1" max="1" width="55.140625" style="18" customWidth="1"/>
    <col min="2" max="9" width="9.7109375" style="18" customWidth="1"/>
    <col min="10" max="10" width="9.8515625" style="18" customWidth="1"/>
    <col min="11" max="16384" width="9.140625" style="18" customWidth="1"/>
  </cols>
  <sheetData>
    <row r="1" spans="1:10" ht="16.5" customHeight="1">
      <c r="A1" s="684" t="s">
        <v>42</v>
      </c>
      <c r="B1" s="684"/>
      <c r="H1" s="784" t="s">
        <v>641</v>
      </c>
      <c r="I1" s="784"/>
      <c r="J1" s="784"/>
    </row>
    <row r="2" spans="1:10" ht="13.5">
      <c r="A2" s="684" t="s">
        <v>644</v>
      </c>
      <c r="B2" s="684"/>
      <c r="J2" s="649" t="s">
        <v>640</v>
      </c>
    </row>
    <row r="3" spans="1:10" ht="14.25" thickBot="1">
      <c r="A3" s="720"/>
      <c r="B3" s="683" t="s">
        <v>54</v>
      </c>
      <c r="C3" s="683" t="s">
        <v>96</v>
      </c>
      <c r="D3" s="683" t="s">
        <v>97</v>
      </c>
      <c r="E3" s="683" t="s">
        <v>112</v>
      </c>
      <c r="F3" s="683" t="s">
        <v>337</v>
      </c>
      <c r="G3" s="683" t="s">
        <v>338</v>
      </c>
      <c r="H3" s="683" t="s">
        <v>339</v>
      </c>
      <c r="I3" s="683" t="s">
        <v>340</v>
      </c>
      <c r="J3" s="683" t="s">
        <v>341</v>
      </c>
    </row>
    <row r="4" spans="1:10" ht="15.75" customHeight="1" thickTop="1">
      <c r="A4" s="15" t="s">
        <v>354</v>
      </c>
      <c r="B4" s="332">
        <v>11591</v>
      </c>
      <c r="C4" s="332">
        <v>6462</v>
      </c>
      <c r="D4" s="714">
        <v>4529</v>
      </c>
      <c r="E4" s="714">
        <v>3034</v>
      </c>
      <c r="F4" s="714">
        <v>5710</v>
      </c>
      <c r="G4" s="714">
        <v>8149</v>
      </c>
      <c r="H4" s="714">
        <v>13329</v>
      </c>
      <c r="I4" s="714">
        <v>18489</v>
      </c>
      <c r="J4" s="714">
        <v>23969</v>
      </c>
    </row>
    <row r="5" spans="1:10" ht="13.5">
      <c r="A5" s="689" t="s">
        <v>352</v>
      </c>
      <c r="B5" s="689"/>
      <c r="C5" s="690"/>
      <c r="D5" s="690"/>
      <c r="E5" s="690"/>
      <c r="F5" s="690"/>
      <c r="G5" s="690"/>
      <c r="H5" s="690"/>
      <c r="I5" s="690"/>
      <c r="J5" s="690"/>
    </row>
    <row r="6" spans="1:10" ht="13.5">
      <c r="A6" s="691" t="s">
        <v>353</v>
      </c>
      <c r="B6" s="692">
        <v>95917</v>
      </c>
      <c r="C6" s="692">
        <v>78137</v>
      </c>
      <c r="D6" s="692">
        <v>81834</v>
      </c>
      <c r="E6" s="692">
        <v>83643</v>
      </c>
      <c r="F6" s="692">
        <v>86115</v>
      </c>
      <c r="G6" s="692">
        <v>90563</v>
      </c>
      <c r="H6" s="692">
        <v>95414</v>
      </c>
      <c r="I6" s="692">
        <v>100244</v>
      </c>
      <c r="J6" s="692">
        <v>105777</v>
      </c>
    </row>
    <row r="7" spans="1:10" ht="13.5">
      <c r="A7" s="693" t="s">
        <v>355</v>
      </c>
      <c r="B7" s="630">
        <v>57561</v>
      </c>
      <c r="C7" s="630">
        <v>51954</v>
      </c>
      <c r="D7" s="630">
        <v>56834</v>
      </c>
      <c r="E7" s="630">
        <v>58516</v>
      </c>
      <c r="F7" s="630">
        <v>60863</v>
      </c>
      <c r="G7" s="630">
        <v>65183</v>
      </c>
      <c r="H7" s="630">
        <v>68016</v>
      </c>
      <c r="I7" s="630">
        <v>72703</v>
      </c>
      <c r="J7" s="630">
        <v>78108</v>
      </c>
    </row>
    <row r="8" spans="1:10" ht="13.5">
      <c r="A8" s="693" t="s">
        <v>9</v>
      </c>
      <c r="B8" s="630">
        <v>18359</v>
      </c>
      <c r="C8" s="630">
        <v>16175</v>
      </c>
      <c r="D8" s="630">
        <v>16175</v>
      </c>
      <c r="E8" s="630">
        <v>16175</v>
      </c>
      <c r="F8" s="630">
        <v>16175</v>
      </c>
      <c r="G8" s="630">
        <v>16175</v>
      </c>
      <c r="H8" s="630">
        <v>18062</v>
      </c>
      <c r="I8" s="630">
        <v>18062</v>
      </c>
      <c r="J8" s="630">
        <v>18062</v>
      </c>
    </row>
    <row r="9" spans="1:10" ht="13.5">
      <c r="A9" s="693" t="s">
        <v>356</v>
      </c>
      <c r="B9" s="630">
        <v>5828</v>
      </c>
      <c r="C9" s="630">
        <v>2666</v>
      </c>
      <c r="D9" s="630">
        <v>2922</v>
      </c>
      <c r="E9" s="630">
        <v>2986</v>
      </c>
      <c r="F9" s="630">
        <v>3052</v>
      </c>
      <c r="G9" s="630">
        <v>3119</v>
      </c>
      <c r="H9" s="630">
        <v>3188</v>
      </c>
      <c r="I9" s="630">
        <v>3258</v>
      </c>
      <c r="J9" s="630">
        <v>3330</v>
      </c>
    </row>
    <row r="10" spans="1:10" ht="13.5">
      <c r="A10" s="693" t="s">
        <v>357</v>
      </c>
      <c r="B10" s="85">
        <v>8040</v>
      </c>
      <c r="C10" s="85">
        <v>3504</v>
      </c>
      <c r="D10" s="85">
        <v>3290</v>
      </c>
      <c r="E10" s="85">
        <v>3297</v>
      </c>
      <c r="F10" s="85">
        <v>3304</v>
      </c>
      <c r="G10" s="85">
        <v>3311</v>
      </c>
      <c r="H10" s="85">
        <v>3319</v>
      </c>
      <c r="I10" s="85">
        <v>3327</v>
      </c>
      <c r="J10" s="85">
        <v>3336</v>
      </c>
    </row>
    <row r="11" spans="1:10" ht="13.5">
      <c r="A11" s="693" t="s">
        <v>358</v>
      </c>
      <c r="B11" s="630">
        <v>3674</v>
      </c>
      <c r="C11" s="630">
        <v>2162</v>
      </c>
      <c r="D11" s="630">
        <v>1616</v>
      </c>
      <c r="E11" s="630">
        <v>1657</v>
      </c>
      <c r="F11" s="630">
        <v>1693</v>
      </c>
      <c r="G11" s="630">
        <v>1730</v>
      </c>
      <c r="H11" s="630">
        <v>1768</v>
      </c>
      <c r="I11" s="630">
        <v>1816</v>
      </c>
      <c r="J11" s="630">
        <v>1846</v>
      </c>
    </row>
    <row r="12" spans="1:10" ht="13.5">
      <c r="A12" s="693" t="s">
        <v>34</v>
      </c>
      <c r="B12" s="630">
        <v>2455</v>
      </c>
      <c r="C12" s="630">
        <v>1676</v>
      </c>
      <c r="D12" s="630">
        <v>997</v>
      </c>
      <c r="E12" s="630">
        <v>1012</v>
      </c>
      <c r="F12" s="630">
        <v>1028</v>
      </c>
      <c r="G12" s="630">
        <v>1045</v>
      </c>
      <c r="H12" s="630">
        <v>1061</v>
      </c>
      <c r="I12" s="630">
        <v>1078</v>
      </c>
      <c r="J12" s="630">
        <v>1095</v>
      </c>
    </row>
    <row r="13" spans="1:10" ht="13.5">
      <c r="A13" s="691" t="s">
        <v>359</v>
      </c>
      <c r="B13" s="692">
        <v>209090</v>
      </c>
      <c r="C13" s="692">
        <v>216703</v>
      </c>
      <c r="D13" s="692">
        <v>210162</v>
      </c>
      <c r="E13" s="692">
        <v>212168</v>
      </c>
      <c r="F13" s="692">
        <v>214619</v>
      </c>
      <c r="G13" s="692">
        <v>215137</v>
      </c>
      <c r="H13" s="692">
        <v>217515</v>
      </c>
      <c r="I13" s="692">
        <v>222774</v>
      </c>
      <c r="J13" s="692">
        <v>227618</v>
      </c>
    </row>
    <row r="14" spans="1:10" ht="13.5">
      <c r="A14" s="693" t="s">
        <v>360</v>
      </c>
      <c r="B14" s="630">
        <v>77151</v>
      </c>
      <c r="C14" s="630">
        <v>80256</v>
      </c>
      <c r="D14" s="630">
        <v>66734</v>
      </c>
      <c r="E14" s="630">
        <v>66299</v>
      </c>
      <c r="F14" s="630">
        <v>65881</v>
      </c>
      <c r="G14" s="630">
        <v>68360</v>
      </c>
      <c r="H14" s="630">
        <v>70280</v>
      </c>
      <c r="I14" s="630">
        <v>73399</v>
      </c>
      <c r="J14" s="630">
        <v>77064</v>
      </c>
    </row>
    <row r="15" spans="1:10" ht="13.5">
      <c r="A15" s="719" t="s">
        <v>636</v>
      </c>
      <c r="B15" s="630"/>
      <c r="C15" s="630">
        <v>816</v>
      </c>
      <c r="D15" s="630">
        <v>929</v>
      </c>
      <c r="E15" s="630">
        <v>959</v>
      </c>
      <c r="F15" s="630">
        <v>991</v>
      </c>
      <c r="G15" s="630">
        <v>1021</v>
      </c>
      <c r="H15" s="630">
        <v>1051</v>
      </c>
      <c r="I15" s="630">
        <v>1086</v>
      </c>
      <c r="J15" s="630">
        <v>1124</v>
      </c>
    </row>
    <row r="16" spans="1:10" ht="13.5">
      <c r="A16" s="693" t="s">
        <v>361</v>
      </c>
      <c r="B16" s="630">
        <v>12293</v>
      </c>
      <c r="C16" s="630">
        <v>9603</v>
      </c>
      <c r="D16" s="630">
        <v>8742</v>
      </c>
      <c r="E16" s="630">
        <v>9066</v>
      </c>
      <c r="F16" s="630">
        <v>9397</v>
      </c>
      <c r="G16" s="630">
        <v>9872</v>
      </c>
      <c r="H16" s="630">
        <v>9939</v>
      </c>
      <c r="I16" s="630">
        <v>10304</v>
      </c>
      <c r="J16" s="630">
        <v>10683</v>
      </c>
    </row>
    <row r="17" spans="1:10" ht="13.5">
      <c r="A17" s="693" t="s">
        <v>362</v>
      </c>
      <c r="B17" s="630">
        <v>40853</v>
      </c>
      <c r="C17" s="630">
        <v>38954</v>
      </c>
      <c r="D17" s="630">
        <v>41232</v>
      </c>
      <c r="E17" s="630">
        <v>42549</v>
      </c>
      <c r="F17" s="630">
        <v>43761</v>
      </c>
      <c r="G17" s="630">
        <v>39038</v>
      </c>
      <c r="H17" s="630">
        <v>37321</v>
      </c>
      <c r="I17" s="630">
        <v>36727</v>
      </c>
      <c r="J17" s="630">
        <v>35107</v>
      </c>
    </row>
    <row r="18" spans="1:10" ht="13.5">
      <c r="A18" s="693" t="s">
        <v>363</v>
      </c>
      <c r="B18" s="630">
        <v>7541</v>
      </c>
      <c r="C18" s="630">
        <v>10701</v>
      </c>
      <c r="D18" s="630">
        <v>11602</v>
      </c>
      <c r="E18" s="630">
        <v>11857</v>
      </c>
      <c r="F18" s="630">
        <v>12118</v>
      </c>
      <c r="G18" s="630">
        <v>12385</v>
      </c>
      <c r="H18" s="630">
        <v>12657</v>
      </c>
      <c r="I18" s="630">
        <v>12935</v>
      </c>
      <c r="J18" s="630">
        <v>13220</v>
      </c>
    </row>
    <row r="19" spans="1:10" ht="13.5">
      <c r="A19" s="693" t="s">
        <v>624</v>
      </c>
      <c r="B19" s="630"/>
      <c r="C19" s="630">
        <v>749</v>
      </c>
      <c r="D19" s="630"/>
      <c r="E19" s="630"/>
      <c r="F19" s="630"/>
      <c r="G19" s="630"/>
      <c r="H19" s="630"/>
      <c r="I19" s="630"/>
      <c r="J19" s="630"/>
    </row>
    <row r="20" spans="1:10" ht="13.5">
      <c r="A20" s="693" t="s">
        <v>36</v>
      </c>
      <c r="B20" s="630">
        <v>19020</v>
      </c>
      <c r="C20" s="630">
        <v>24384</v>
      </c>
      <c r="D20" s="630">
        <v>25817</v>
      </c>
      <c r="E20" s="630">
        <v>25869</v>
      </c>
      <c r="F20" s="630">
        <v>26427</v>
      </c>
      <c r="G20" s="630">
        <v>28875</v>
      </c>
      <c r="H20" s="630">
        <v>30584</v>
      </c>
      <c r="I20" s="630">
        <v>32494</v>
      </c>
      <c r="J20" s="630">
        <v>34418</v>
      </c>
    </row>
    <row r="21" spans="1:10" ht="13.5">
      <c r="A21" s="693" t="s">
        <v>364</v>
      </c>
      <c r="B21" s="630">
        <v>5009</v>
      </c>
      <c r="C21" s="630">
        <v>7494</v>
      </c>
      <c r="D21" s="630">
        <v>9062</v>
      </c>
      <c r="E21" s="630">
        <v>9261</v>
      </c>
      <c r="F21" s="630">
        <v>9465</v>
      </c>
      <c r="G21" s="630">
        <v>9673</v>
      </c>
      <c r="H21" s="630">
        <v>9886</v>
      </c>
      <c r="I21" s="630">
        <v>10103</v>
      </c>
      <c r="J21" s="630">
        <v>10325</v>
      </c>
    </row>
    <row r="22" spans="1:10" ht="13.5">
      <c r="A22" s="693" t="s">
        <v>365</v>
      </c>
      <c r="B22" s="85">
        <v>35017</v>
      </c>
      <c r="C22" s="85">
        <v>30812</v>
      </c>
      <c r="D22" s="85">
        <v>31682</v>
      </c>
      <c r="E22" s="85">
        <v>31682</v>
      </c>
      <c r="F22" s="85">
        <v>31682</v>
      </c>
      <c r="G22" s="85">
        <v>30739</v>
      </c>
      <c r="H22" s="85">
        <v>30340</v>
      </c>
      <c r="I22" s="85">
        <v>29979</v>
      </c>
      <c r="J22" s="85">
        <v>29633</v>
      </c>
    </row>
    <row r="23" spans="1:10" ht="13.5">
      <c r="A23" s="693" t="s">
        <v>366</v>
      </c>
      <c r="B23" s="85">
        <v>4054</v>
      </c>
      <c r="C23" s="85">
        <v>3012</v>
      </c>
      <c r="D23" s="85">
        <v>3066</v>
      </c>
      <c r="E23" s="85">
        <v>3133</v>
      </c>
      <c r="F23" s="85">
        <v>3202</v>
      </c>
      <c r="G23" s="85">
        <v>3272</v>
      </c>
      <c r="H23" s="85">
        <v>3344</v>
      </c>
      <c r="I23" s="85">
        <v>3418</v>
      </c>
      <c r="J23" s="85">
        <v>3493</v>
      </c>
    </row>
    <row r="24" spans="1:10" ht="13.5">
      <c r="A24" s="693" t="s">
        <v>596</v>
      </c>
      <c r="B24" s="85"/>
      <c r="C24" s="85"/>
      <c r="D24" s="85">
        <v>3203</v>
      </c>
      <c r="E24" s="85">
        <v>3273</v>
      </c>
      <c r="F24" s="85">
        <v>3345</v>
      </c>
      <c r="G24" s="85">
        <v>3419</v>
      </c>
      <c r="H24" s="85">
        <v>3494</v>
      </c>
      <c r="I24" s="85">
        <v>3571</v>
      </c>
      <c r="J24" s="85">
        <v>3650</v>
      </c>
    </row>
    <row r="25" spans="1:10" ht="13.5">
      <c r="A25" s="693" t="s">
        <v>597</v>
      </c>
      <c r="B25" s="85"/>
      <c r="C25" s="85"/>
      <c r="D25" s="85">
        <v>4515</v>
      </c>
      <c r="E25" s="85">
        <v>4614</v>
      </c>
      <c r="F25" s="85">
        <v>4716</v>
      </c>
      <c r="G25" s="85">
        <v>4820</v>
      </c>
      <c r="H25" s="85">
        <v>4926</v>
      </c>
      <c r="I25" s="85">
        <v>5034</v>
      </c>
      <c r="J25" s="85">
        <v>5145</v>
      </c>
    </row>
    <row r="26" spans="1:10" ht="13.5">
      <c r="A26" s="693" t="s">
        <v>367</v>
      </c>
      <c r="B26" s="630">
        <v>2310</v>
      </c>
      <c r="C26" s="630">
        <v>1308</v>
      </c>
      <c r="D26" s="630">
        <v>1278</v>
      </c>
      <c r="E26" s="630">
        <v>1306</v>
      </c>
      <c r="F26" s="630">
        <v>1334</v>
      </c>
      <c r="G26" s="630">
        <v>1363</v>
      </c>
      <c r="H26" s="630">
        <v>1393</v>
      </c>
      <c r="I26" s="630">
        <v>1424</v>
      </c>
      <c r="J26" s="630">
        <v>1456</v>
      </c>
    </row>
    <row r="27" spans="1:10" ht="14.25" customHeight="1">
      <c r="A27" s="693" t="s">
        <v>358</v>
      </c>
      <c r="B27" s="630">
        <v>1845</v>
      </c>
      <c r="C27" s="630">
        <v>1530</v>
      </c>
      <c r="D27" s="630">
        <v>500</v>
      </c>
      <c r="E27" s="630">
        <v>500</v>
      </c>
      <c r="F27" s="630">
        <v>500</v>
      </c>
      <c r="G27" s="630">
        <v>500</v>
      </c>
      <c r="H27" s="630">
        <v>500</v>
      </c>
      <c r="I27" s="630">
        <v>500</v>
      </c>
      <c r="J27" s="630">
        <v>500</v>
      </c>
    </row>
    <row r="28" spans="1:10" ht="14.25" customHeight="1">
      <c r="A28" s="693" t="s">
        <v>368</v>
      </c>
      <c r="B28" s="630">
        <v>76</v>
      </c>
      <c r="C28" s="630">
        <v>5779</v>
      </c>
      <c r="D28" s="630">
        <v>500</v>
      </c>
      <c r="E28" s="630">
        <v>500</v>
      </c>
      <c r="F28" s="630">
        <v>500</v>
      </c>
      <c r="G28" s="630">
        <v>500</v>
      </c>
      <c r="H28" s="630">
        <v>500</v>
      </c>
      <c r="I28" s="630">
        <v>500</v>
      </c>
      <c r="J28" s="630">
        <v>500</v>
      </c>
    </row>
    <row r="29" spans="1:10" ht="14.25" customHeight="1">
      <c r="A29" s="697" t="s">
        <v>369</v>
      </c>
      <c r="B29" s="630">
        <v>3723</v>
      </c>
      <c r="C29" s="630">
        <v>1000</v>
      </c>
      <c r="D29" s="630">
        <v>1000</v>
      </c>
      <c r="E29" s="630">
        <v>1000</v>
      </c>
      <c r="F29" s="630">
        <v>1000</v>
      </c>
      <c r="G29" s="630">
        <v>1000</v>
      </c>
      <c r="H29" s="630">
        <v>1000</v>
      </c>
      <c r="I29" s="630">
        <v>1000</v>
      </c>
      <c r="J29" s="630">
        <v>1000</v>
      </c>
    </row>
    <row r="30" spans="1:10" ht="14.25" customHeight="1">
      <c r="A30" s="693" t="s">
        <v>370</v>
      </c>
      <c r="B30" s="630">
        <v>198</v>
      </c>
      <c r="C30" s="630">
        <v>305</v>
      </c>
      <c r="D30" s="630">
        <v>300</v>
      </c>
      <c r="E30" s="630">
        <v>300</v>
      </c>
      <c r="F30" s="630">
        <v>300</v>
      </c>
      <c r="G30" s="630">
        <v>300</v>
      </c>
      <c r="H30" s="630">
        <v>300</v>
      </c>
      <c r="I30" s="630">
        <v>300</v>
      </c>
      <c r="J30" s="630">
        <v>300</v>
      </c>
    </row>
    <row r="31" spans="1:10" ht="13.5">
      <c r="A31" s="577" t="s">
        <v>371</v>
      </c>
      <c r="B31" s="618">
        <v>-113173</v>
      </c>
      <c r="C31" s="618">
        <v>-138566</v>
      </c>
      <c r="D31" s="618">
        <v>-128328</v>
      </c>
      <c r="E31" s="618">
        <v>-128525</v>
      </c>
      <c r="F31" s="618">
        <v>-128504</v>
      </c>
      <c r="G31" s="618">
        <v>-124574</v>
      </c>
      <c r="H31" s="618">
        <v>-122101</v>
      </c>
      <c r="I31" s="618">
        <v>-122530</v>
      </c>
      <c r="J31" s="618">
        <v>-121841</v>
      </c>
    </row>
    <row r="32" spans="1:10" ht="13.5">
      <c r="A32" s="689" t="s">
        <v>372</v>
      </c>
      <c r="B32" s="698"/>
      <c r="C32" s="698"/>
      <c r="D32" s="698"/>
      <c r="E32" s="698"/>
      <c r="F32" s="698"/>
      <c r="G32" s="698"/>
      <c r="H32" s="698"/>
      <c r="I32" s="698"/>
      <c r="J32" s="698"/>
    </row>
    <row r="33" spans="1:10" ht="13.5">
      <c r="A33" s="691" t="s">
        <v>353</v>
      </c>
      <c r="B33" s="692">
        <v>0</v>
      </c>
      <c r="C33" s="692">
        <v>5655</v>
      </c>
      <c r="D33" s="692">
        <v>9147</v>
      </c>
      <c r="E33" s="692">
        <v>5700</v>
      </c>
      <c r="F33" s="692">
        <v>6210</v>
      </c>
      <c r="G33" s="692">
        <v>6269</v>
      </c>
      <c r="H33" s="692">
        <v>3935</v>
      </c>
      <c r="I33" s="692">
        <v>2874</v>
      </c>
      <c r="J33" s="692">
        <v>2048</v>
      </c>
    </row>
    <row r="34" spans="1:10" ht="13.5">
      <c r="A34" s="693" t="s">
        <v>373</v>
      </c>
      <c r="B34" s="630"/>
      <c r="C34" s="630">
        <v>5655</v>
      </c>
      <c r="D34" s="630">
        <v>9147</v>
      </c>
      <c r="E34" s="630">
        <v>5700</v>
      </c>
      <c r="F34" s="630">
        <v>6210</v>
      </c>
      <c r="G34" s="630">
        <v>6269</v>
      </c>
      <c r="H34" s="630">
        <v>3935</v>
      </c>
      <c r="I34" s="630">
        <v>2874</v>
      </c>
      <c r="J34" s="630">
        <v>2048</v>
      </c>
    </row>
    <row r="35" spans="1:10" ht="13.5">
      <c r="A35" s="691" t="s">
        <v>359</v>
      </c>
      <c r="B35" s="692">
        <v>18994</v>
      </c>
      <c r="C35" s="692">
        <v>28104</v>
      </c>
      <c r="D35" s="692">
        <v>102397</v>
      </c>
      <c r="E35" s="692">
        <v>103323</v>
      </c>
      <c r="F35" s="692">
        <v>102639</v>
      </c>
      <c r="G35" s="692">
        <v>109259</v>
      </c>
      <c r="H35" s="692">
        <v>97286</v>
      </c>
      <c r="I35" s="692">
        <v>93143</v>
      </c>
      <c r="J35" s="692">
        <v>71532</v>
      </c>
    </row>
    <row r="36" spans="1:10" ht="13.5">
      <c r="A36" s="693" t="s">
        <v>622</v>
      </c>
      <c r="B36" s="679"/>
      <c r="C36" s="679">
        <v>0</v>
      </c>
      <c r="D36" s="679">
        <v>63000</v>
      </c>
      <c r="E36" s="679">
        <v>63000</v>
      </c>
      <c r="F36" s="679">
        <v>63000</v>
      </c>
      <c r="G36" s="679">
        <v>63000</v>
      </c>
      <c r="H36" s="679">
        <v>63000</v>
      </c>
      <c r="I36" s="679">
        <v>57000</v>
      </c>
      <c r="J36" s="679">
        <v>58000</v>
      </c>
    </row>
    <row r="37" spans="1:10" ht="13.5">
      <c r="A37" s="693" t="s">
        <v>625</v>
      </c>
      <c r="B37" s="679"/>
      <c r="C37" s="679">
        <v>1872</v>
      </c>
      <c r="D37" s="679"/>
      <c r="E37" s="679"/>
      <c r="F37" s="679"/>
      <c r="G37" s="679"/>
      <c r="H37" s="679"/>
      <c r="I37" s="679"/>
      <c r="J37" s="679"/>
    </row>
    <row r="38" spans="1:12" ht="13.5">
      <c r="A38" s="693" t="s">
        <v>374</v>
      </c>
      <c r="B38" s="679"/>
      <c r="C38" s="679">
        <v>6424</v>
      </c>
      <c r="D38" s="679">
        <v>17440</v>
      </c>
      <c r="E38" s="679">
        <v>18140</v>
      </c>
      <c r="F38" s="679">
        <v>17340</v>
      </c>
      <c r="G38" s="679">
        <v>24840</v>
      </c>
      <c r="H38" s="679">
        <v>18040</v>
      </c>
      <c r="I38" s="679">
        <v>21600</v>
      </c>
      <c r="J38" s="679">
        <v>500</v>
      </c>
      <c r="K38" s="630"/>
      <c r="L38" s="630"/>
    </row>
    <row r="39" spans="1:12" ht="13.5">
      <c r="A39" s="693" t="s">
        <v>375</v>
      </c>
      <c r="B39" s="630">
        <v>10529</v>
      </c>
      <c r="C39" s="630">
        <v>14072</v>
      </c>
      <c r="D39" s="630">
        <v>12682</v>
      </c>
      <c r="E39" s="630">
        <v>12918</v>
      </c>
      <c r="F39" s="630">
        <v>12743</v>
      </c>
      <c r="G39" s="630">
        <v>12960</v>
      </c>
      <c r="H39" s="630">
        <v>7836</v>
      </c>
      <c r="I39" s="630">
        <v>5639</v>
      </c>
      <c r="J39" s="630">
        <v>4157</v>
      </c>
      <c r="K39" s="630"/>
      <c r="L39" s="630"/>
    </row>
    <row r="40" spans="1:12" ht="13.5">
      <c r="A40" s="693" t="s">
        <v>376</v>
      </c>
      <c r="B40" s="630">
        <v>1797</v>
      </c>
      <c r="C40" s="630">
        <v>5300</v>
      </c>
      <c r="D40" s="630">
        <v>4418</v>
      </c>
      <c r="E40" s="630">
        <v>4408</v>
      </c>
      <c r="F40" s="630">
        <v>4699</v>
      </c>
      <c r="G40" s="630">
        <v>3602</v>
      </c>
      <c r="H40" s="630">
        <v>3553</v>
      </c>
      <c r="I40" s="630">
        <v>4047</v>
      </c>
      <c r="J40" s="630">
        <v>4017</v>
      </c>
      <c r="K40" s="630"/>
      <c r="L40" s="630"/>
    </row>
    <row r="41" spans="1:12" ht="13.5">
      <c r="A41" s="693" t="s">
        <v>502</v>
      </c>
      <c r="B41" s="630">
        <v>6668</v>
      </c>
      <c r="C41" s="630">
        <v>436</v>
      </c>
      <c r="D41" s="630">
        <v>4857</v>
      </c>
      <c r="E41" s="630">
        <v>4857</v>
      </c>
      <c r="F41" s="630">
        <v>4857</v>
      </c>
      <c r="G41" s="630">
        <v>4857</v>
      </c>
      <c r="H41" s="630">
        <v>4857</v>
      </c>
      <c r="I41" s="630">
        <v>4857</v>
      </c>
      <c r="J41" s="630">
        <v>4858</v>
      </c>
      <c r="K41" s="630"/>
      <c r="L41" s="630"/>
    </row>
    <row r="42" spans="1:10" ht="13.5">
      <c r="A42" s="577" t="s">
        <v>379</v>
      </c>
      <c r="B42" s="700">
        <v>-18994</v>
      </c>
      <c r="C42" s="700">
        <v>-22449</v>
      </c>
      <c r="D42" s="700">
        <v>-93250</v>
      </c>
      <c r="E42" s="700">
        <v>-97623</v>
      </c>
      <c r="F42" s="700">
        <v>-96429</v>
      </c>
      <c r="G42" s="700">
        <v>-102990</v>
      </c>
      <c r="H42" s="700">
        <v>-93351</v>
      </c>
      <c r="I42" s="700">
        <v>-90269</v>
      </c>
      <c r="J42" s="700">
        <v>-69484</v>
      </c>
    </row>
    <row r="43" spans="1:10" ht="13.5">
      <c r="A43" s="689" t="s">
        <v>380</v>
      </c>
      <c r="B43" s="698"/>
      <c r="C43" s="698"/>
      <c r="D43" s="698"/>
      <c r="E43" s="698"/>
      <c r="F43" s="698"/>
      <c r="G43" s="698"/>
      <c r="H43" s="698"/>
      <c r="I43" s="698"/>
      <c r="J43" s="698"/>
    </row>
    <row r="44" spans="1:10" ht="13.5">
      <c r="A44" s="691" t="s">
        <v>353</v>
      </c>
      <c r="B44" s="692">
        <v>2217</v>
      </c>
      <c r="C44" s="692">
        <v>1885</v>
      </c>
      <c r="D44" s="692">
        <v>1841</v>
      </c>
      <c r="E44" s="692">
        <v>1798</v>
      </c>
      <c r="F44" s="692">
        <v>1754</v>
      </c>
      <c r="G44" s="692">
        <v>1711</v>
      </c>
      <c r="H44" s="692">
        <v>1668</v>
      </c>
      <c r="I44" s="692">
        <v>1624</v>
      </c>
      <c r="J44" s="692">
        <v>1581</v>
      </c>
    </row>
    <row r="45" spans="1:10" ht="13.5">
      <c r="A45" s="693" t="s">
        <v>381</v>
      </c>
      <c r="B45" s="679">
        <v>2217</v>
      </c>
      <c r="C45" s="679">
        <v>1885</v>
      </c>
      <c r="D45" s="679">
        <v>1841</v>
      </c>
      <c r="E45" s="679">
        <v>1798</v>
      </c>
      <c r="F45" s="679">
        <v>1754</v>
      </c>
      <c r="G45" s="679">
        <v>1711</v>
      </c>
      <c r="H45" s="679">
        <v>1668</v>
      </c>
      <c r="I45" s="679">
        <v>1624</v>
      </c>
      <c r="J45" s="679">
        <v>1581</v>
      </c>
    </row>
    <row r="46" spans="1:10" ht="13.5">
      <c r="A46" s="691" t="s">
        <v>359</v>
      </c>
      <c r="B46" s="692">
        <v>76510</v>
      </c>
      <c r="C46" s="692">
        <v>52803</v>
      </c>
      <c r="D46" s="692">
        <v>21700</v>
      </c>
      <c r="E46" s="692">
        <v>14400</v>
      </c>
      <c r="F46" s="692">
        <v>19100</v>
      </c>
      <c r="G46" s="692">
        <v>13700</v>
      </c>
      <c r="H46" s="692">
        <v>25500</v>
      </c>
      <c r="I46" s="692">
        <v>18200</v>
      </c>
      <c r="J46" s="692">
        <v>57601</v>
      </c>
    </row>
    <row r="47" spans="1:10" ht="13.5">
      <c r="A47" s="691" t="s">
        <v>382</v>
      </c>
      <c r="B47" s="85">
        <v>4605</v>
      </c>
      <c r="C47" s="85">
        <v>3245</v>
      </c>
      <c r="D47" s="85">
        <v>2700</v>
      </c>
      <c r="E47" s="85">
        <v>2400</v>
      </c>
      <c r="F47" s="85">
        <v>2100</v>
      </c>
      <c r="G47" s="85">
        <v>1700</v>
      </c>
      <c r="H47" s="85">
        <v>1500</v>
      </c>
      <c r="I47" s="85">
        <v>1200</v>
      </c>
      <c r="J47" s="85">
        <v>1000</v>
      </c>
    </row>
    <row r="48" spans="1:13" ht="13.5">
      <c r="A48" s="691" t="s">
        <v>383</v>
      </c>
      <c r="B48" s="85">
        <v>33095</v>
      </c>
      <c r="C48" s="85">
        <v>47012</v>
      </c>
      <c r="D48" s="85">
        <v>19000</v>
      </c>
      <c r="E48" s="85">
        <v>12000</v>
      </c>
      <c r="F48" s="85">
        <v>17000</v>
      </c>
      <c r="G48" s="85">
        <v>12000</v>
      </c>
      <c r="H48" s="85">
        <v>24000</v>
      </c>
      <c r="I48" s="85">
        <v>17000</v>
      </c>
      <c r="J48" s="85">
        <v>56601</v>
      </c>
      <c r="K48" s="695"/>
      <c r="M48" s="695"/>
    </row>
    <row r="49" spans="1:13" ht="13.5">
      <c r="A49" s="691" t="s">
        <v>384</v>
      </c>
      <c r="B49" s="630">
        <v>36810</v>
      </c>
      <c r="C49" s="630">
        <v>2546</v>
      </c>
      <c r="D49" s="630"/>
      <c r="E49" s="630"/>
      <c r="F49" s="630"/>
      <c r="G49" s="630"/>
      <c r="H49" s="630"/>
      <c r="I49" s="630"/>
      <c r="J49" s="630"/>
      <c r="M49" s="695"/>
    </row>
    <row r="50" spans="1:10" ht="13.5">
      <c r="A50" s="691" t="s">
        <v>381</v>
      </c>
      <c r="B50" s="630">
        <v>2000</v>
      </c>
      <c r="C50" s="630">
        <v>0</v>
      </c>
      <c r="D50" s="630"/>
      <c r="E50" s="630"/>
      <c r="F50" s="630"/>
      <c r="G50" s="630"/>
      <c r="H50" s="630"/>
      <c r="I50" s="630"/>
      <c r="J50" s="630"/>
    </row>
    <row r="51" spans="1:10" ht="13.5">
      <c r="A51" s="701" t="s">
        <v>385</v>
      </c>
      <c r="B51" s="702">
        <v>-74293</v>
      </c>
      <c r="C51" s="702">
        <v>-50918</v>
      </c>
      <c r="D51" s="702">
        <v>-19859</v>
      </c>
      <c r="E51" s="702">
        <v>-12602</v>
      </c>
      <c r="F51" s="702">
        <v>-17346</v>
      </c>
      <c r="G51" s="702">
        <v>-11989</v>
      </c>
      <c r="H51" s="702">
        <v>-23832</v>
      </c>
      <c r="I51" s="702">
        <v>-16576</v>
      </c>
      <c r="J51" s="702">
        <v>-56020</v>
      </c>
    </row>
    <row r="52" spans="1:10" ht="13.5">
      <c r="A52" s="15" t="s">
        <v>386</v>
      </c>
      <c r="B52" s="692">
        <v>-206460</v>
      </c>
      <c r="C52" s="692">
        <v>-211933</v>
      </c>
      <c r="D52" s="692">
        <v>-241437</v>
      </c>
      <c r="E52" s="692">
        <v>-238750</v>
      </c>
      <c r="F52" s="692">
        <v>-242279</v>
      </c>
      <c r="G52" s="692">
        <v>-239553</v>
      </c>
      <c r="H52" s="692">
        <v>-239284</v>
      </c>
      <c r="I52" s="692">
        <v>-229375</v>
      </c>
      <c r="J52" s="692">
        <v>-247345</v>
      </c>
    </row>
    <row r="53" spans="1:10" ht="17.25" customHeight="1">
      <c r="A53" s="721" t="s">
        <v>387</v>
      </c>
      <c r="B53" s="652">
        <v>201331</v>
      </c>
      <c r="C53" s="652">
        <v>210000</v>
      </c>
      <c r="D53" s="652">
        <v>239942</v>
      </c>
      <c r="E53" s="652">
        <v>241426</v>
      </c>
      <c r="F53" s="652">
        <v>244718</v>
      </c>
      <c r="G53" s="652">
        <v>244733</v>
      </c>
      <c r="H53" s="652">
        <v>244444</v>
      </c>
      <c r="I53" s="652">
        <v>234855</v>
      </c>
      <c r="J53" s="652">
        <v>238806</v>
      </c>
    </row>
    <row r="54" spans="1:11" ht="14.25" customHeight="1">
      <c r="A54" s="722" t="s">
        <v>388</v>
      </c>
      <c r="B54" s="723">
        <v>171331</v>
      </c>
      <c r="C54" s="723">
        <v>180000</v>
      </c>
      <c r="D54" s="723">
        <v>176942</v>
      </c>
      <c r="E54" s="723">
        <v>178426</v>
      </c>
      <c r="F54" s="723">
        <v>181718</v>
      </c>
      <c r="G54" s="723">
        <v>181733</v>
      </c>
      <c r="H54" s="723">
        <v>181444</v>
      </c>
      <c r="I54" s="723">
        <v>177855</v>
      </c>
      <c r="J54" s="723">
        <v>180806</v>
      </c>
      <c r="K54" s="695"/>
    </row>
    <row r="55" spans="1:11" ht="15.75" customHeight="1">
      <c r="A55" s="722" t="s">
        <v>389</v>
      </c>
      <c r="B55" s="723">
        <v>30000</v>
      </c>
      <c r="C55" s="723">
        <v>30000</v>
      </c>
      <c r="D55" s="723">
        <v>63000</v>
      </c>
      <c r="E55" s="723">
        <v>63000</v>
      </c>
      <c r="F55" s="723">
        <v>63000</v>
      </c>
      <c r="G55" s="723">
        <v>63000</v>
      </c>
      <c r="H55" s="723">
        <v>63000</v>
      </c>
      <c r="I55" s="723">
        <v>57000</v>
      </c>
      <c r="J55" s="723">
        <v>58000</v>
      </c>
      <c r="K55" s="695"/>
    </row>
    <row r="56" spans="1:10" ht="15.75" customHeight="1">
      <c r="A56" s="15" t="s">
        <v>390</v>
      </c>
      <c r="B56" s="332">
        <v>-5129</v>
      </c>
      <c r="C56" s="332">
        <v>-1933</v>
      </c>
      <c r="D56" s="332">
        <v>-1495</v>
      </c>
      <c r="E56" s="332">
        <v>2676</v>
      </c>
      <c r="F56" s="332">
        <v>2439</v>
      </c>
      <c r="G56" s="332">
        <v>5180</v>
      </c>
      <c r="H56" s="332">
        <v>5160</v>
      </c>
      <c r="I56" s="332">
        <v>5480</v>
      </c>
      <c r="J56" s="332">
        <v>-8539</v>
      </c>
    </row>
    <row r="57" spans="1:10" ht="13.5">
      <c r="A57" s="707" t="s">
        <v>391</v>
      </c>
      <c r="B57" s="692"/>
      <c r="C57" s="692">
        <v>500</v>
      </c>
      <c r="D57" s="692">
        <v>500</v>
      </c>
      <c r="E57" s="692">
        <v>500</v>
      </c>
      <c r="F57" s="692">
        <v>500</v>
      </c>
      <c r="G57" s="692">
        <v>500</v>
      </c>
      <c r="H57" s="692">
        <v>500</v>
      </c>
      <c r="I57" s="692">
        <v>500</v>
      </c>
      <c r="J57" s="692">
        <v>500</v>
      </c>
    </row>
    <row r="58" spans="1:10" ht="15.75" customHeight="1" thickBot="1">
      <c r="A58" s="724" t="s">
        <v>392</v>
      </c>
      <c r="B58" s="725">
        <v>6462</v>
      </c>
      <c r="C58" s="725">
        <v>4029</v>
      </c>
      <c r="D58" s="725">
        <v>2534</v>
      </c>
      <c r="E58" s="725">
        <v>5210</v>
      </c>
      <c r="F58" s="725">
        <v>7649</v>
      </c>
      <c r="G58" s="725">
        <v>12829</v>
      </c>
      <c r="H58" s="725">
        <v>17989</v>
      </c>
      <c r="I58" s="725">
        <v>23469</v>
      </c>
      <c r="J58" s="725">
        <v>14930</v>
      </c>
    </row>
    <row r="59" spans="3:12" ht="15.75" customHeight="1" thickTop="1"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0" ht="15.75" customHeight="1">
      <c r="A60" s="693"/>
      <c r="B60" s="693"/>
      <c r="C60" s="64"/>
      <c r="D60" s="64"/>
      <c r="E60" s="64"/>
      <c r="F60" s="64"/>
      <c r="G60" s="64"/>
      <c r="H60" s="64"/>
      <c r="I60" s="64"/>
      <c r="J60" s="64"/>
    </row>
    <row r="61" spans="1:10" ht="13.5">
      <c r="A61" s="711"/>
      <c r="B61" s="711"/>
      <c r="D61" s="64"/>
      <c r="E61" s="64"/>
      <c r="F61" s="64"/>
      <c r="G61" s="64"/>
      <c r="H61" s="64"/>
      <c r="I61" s="64"/>
      <c r="J61" s="64"/>
    </row>
    <row r="62" spans="1:5" ht="13.5">
      <c r="A62" s="711"/>
      <c r="B62" s="712"/>
      <c r="C62" s="193"/>
      <c r="D62" s="193"/>
      <c r="E62" s="193"/>
    </row>
    <row r="63" spans="1:11" ht="14.25" thickBot="1">
      <c r="A63" s="728" t="s">
        <v>396</v>
      </c>
      <c r="B63" s="683" t="s">
        <v>54</v>
      </c>
      <c r="C63" s="683" t="s">
        <v>96</v>
      </c>
      <c r="D63" s="683" t="s">
        <v>97</v>
      </c>
      <c r="E63" s="683" t="s">
        <v>112</v>
      </c>
      <c r="F63" s="683" t="s">
        <v>337</v>
      </c>
      <c r="G63" s="683" t="s">
        <v>338</v>
      </c>
      <c r="H63" s="683" t="s">
        <v>339</v>
      </c>
      <c r="I63" s="683" t="s">
        <v>340</v>
      </c>
      <c r="J63" s="683" t="s">
        <v>341</v>
      </c>
      <c r="K63" s="578"/>
    </row>
    <row r="64" spans="1:11" s="92" customFormat="1" ht="14.25" thickTop="1">
      <c r="A64" s="726" t="s">
        <v>605</v>
      </c>
      <c r="B64" s="726"/>
      <c r="C64" s="727">
        <v>1560</v>
      </c>
      <c r="D64" s="727"/>
      <c r="E64" s="727"/>
      <c r="F64" s="727"/>
      <c r="G64" s="727"/>
      <c r="H64" s="727"/>
      <c r="I64" s="727"/>
      <c r="J64" s="727"/>
      <c r="K64" s="630"/>
    </row>
    <row r="65" spans="1:11" s="92" customFormat="1" ht="13.5">
      <c r="A65" s="462" t="s">
        <v>614</v>
      </c>
      <c r="B65" s="194"/>
      <c r="C65" s="195">
        <v>400</v>
      </c>
      <c r="D65" s="195">
        <v>400</v>
      </c>
      <c r="E65" s="195"/>
      <c r="F65" s="195"/>
      <c r="G65" s="195"/>
      <c r="H65" s="195"/>
      <c r="I65" s="195"/>
      <c r="J65" s="195"/>
      <c r="K65" s="630"/>
    </row>
    <row r="66" spans="1:11" s="92" customFormat="1" ht="13.5">
      <c r="A66" s="194" t="s">
        <v>623</v>
      </c>
      <c r="B66" s="327"/>
      <c r="C66" s="195"/>
      <c r="D66" s="195">
        <v>1500</v>
      </c>
      <c r="E66" s="195">
        <v>500</v>
      </c>
      <c r="F66" s="195"/>
      <c r="G66" s="195"/>
      <c r="H66" s="195"/>
      <c r="I66" s="195"/>
      <c r="J66" s="195"/>
      <c r="K66" s="630"/>
    </row>
    <row r="67" spans="1:11" s="92" customFormat="1" ht="13.5">
      <c r="A67" s="194" t="s">
        <v>609</v>
      </c>
      <c r="B67" s="327"/>
      <c r="C67" s="195"/>
      <c r="D67" s="195"/>
      <c r="E67" s="195">
        <v>100</v>
      </c>
      <c r="F67" s="195"/>
      <c r="G67" s="195"/>
      <c r="H67" s="195"/>
      <c r="I67" s="195"/>
      <c r="J67" s="195"/>
      <c r="K67" s="630"/>
    </row>
    <row r="68" spans="1:11" s="92" customFormat="1" ht="13.5">
      <c r="A68" s="194" t="s">
        <v>538</v>
      </c>
      <c r="B68" s="327"/>
      <c r="C68" s="195"/>
      <c r="D68" s="195">
        <v>300</v>
      </c>
      <c r="E68" s="195">
        <v>300</v>
      </c>
      <c r="F68" s="195">
        <v>300</v>
      </c>
      <c r="G68" s="195">
        <v>300</v>
      </c>
      <c r="H68" s="195"/>
      <c r="I68" s="195"/>
      <c r="J68" s="195"/>
      <c r="K68" s="630"/>
    </row>
    <row r="69" spans="1:11" s="92" customFormat="1" ht="13.5">
      <c r="A69" s="194" t="s">
        <v>565</v>
      </c>
      <c r="B69" s="327"/>
      <c r="C69" s="195"/>
      <c r="D69" s="195">
        <v>2500</v>
      </c>
      <c r="E69" s="195">
        <v>2500</v>
      </c>
      <c r="F69" s="195">
        <v>2500</v>
      </c>
      <c r="G69" s="195">
        <v>2500</v>
      </c>
      <c r="H69" s="195"/>
      <c r="I69" s="195"/>
      <c r="J69" s="195"/>
      <c r="K69" s="630"/>
    </row>
    <row r="70" spans="1:11" s="92" customFormat="1" ht="13.5">
      <c r="A70" s="194" t="s">
        <v>601</v>
      </c>
      <c r="B70" s="327"/>
      <c r="C70" s="195"/>
      <c r="D70" s="195">
        <v>1500</v>
      </c>
      <c r="E70" s="195">
        <v>1500</v>
      </c>
      <c r="F70" s="195">
        <v>1500</v>
      </c>
      <c r="G70" s="195">
        <v>1500</v>
      </c>
      <c r="H70" s="195"/>
      <c r="I70" s="195"/>
      <c r="J70" s="195"/>
      <c r="K70" s="630"/>
    </row>
    <row r="71" spans="1:11" ht="13.5">
      <c r="A71" s="328" t="s">
        <v>606</v>
      </c>
      <c r="B71" s="328"/>
      <c r="C71" s="195"/>
      <c r="D71" s="195">
        <v>300</v>
      </c>
      <c r="E71" s="195">
        <v>300</v>
      </c>
      <c r="F71" s="195">
        <v>100</v>
      </c>
      <c r="G71" s="195">
        <v>100</v>
      </c>
      <c r="H71" s="195">
        <v>100</v>
      </c>
      <c r="I71" s="195">
        <v>100</v>
      </c>
      <c r="J71" s="196"/>
      <c r="K71" s="630"/>
    </row>
    <row r="72" spans="1:11" s="92" customFormat="1" ht="13.5">
      <c r="A72" s="194" t="s">
        <v>564</v>
      </c>
      <c r="B72" s="327"/>
      <c r="C72" s="195"/>
      <c r="D72" s="195">
        <v>1000</v>
      </c>
      <c r="E72" s="195">
        <v>1000</v>
      </c>
      <c r="F72" s="195">
        <v>1000</v>
      </c>
      <c r="G72" s="195">
        <v>500</v>
      </c>
      <c r="H72" s="195">
        <v>500</v>
      </c>
      <c r="I72" s="195">
        <v>500</v>
      </c>
      <c r="J72" s="195">
        <v>500</v>
      </c>
      <c r="K72" s="630"/>
    </row>
    <row r="73" spans="1:11" s="92" customFormat="1" ht="13.5">
      <c r="A73" s="194" t="s">
        <v>619</v>
      </c>
      <c r="B73" s="327"/>
      <c r="C73" s="195"/>
      <c r="D73" s="195"/>
      <c r="E73" s="195">
        <v>3000</v>
      </c>
      <c r="F73" s="195"/>
      <c r="G73" s="195">
        <v>3000</v>
      </c>
      <c r="H73" s="195"/>
      <c r="I73" s="195">
        <v>6000</v>
      </c>
      <c r="J73" s="195"/>
      <c r="K73" s="630"/>
    </row>
    <row r="74" spans="1:11" s="92" customFormat="1" ht="13.5">
      <c r="A74" s="194" t="s">
        <v>566</v>
      </c>
      <c r="B74" s="194"/>
      <c r="C74" s="195">
        <v>500</v>
      </c>
      <c r="D74" s="195">
        <v>1000</v>
      </c>
      <c r="E74" s="195"/>
      <c r="F74" s="195"/>
      <c r="G74" s="195"/>
      <c r="H74" s="195"/>
      <c r="I74" s="195"/>
      <c r="J74" s="195"/>
      <c r="K74" s="630"/>
    </row>
    <row r="75" spans="1:11" ht="13.5">
      <c r="A75" s="328" t="s">
        <v>602</v>
      </c>
      <c r="B75" s="328"/>
      <c r="C75" s="195"/>
      <c r="D75" s="195">
        <v>2500</v>
      </c>
      <c r="E75" s="195">
        <v>2500</v>
      </c>
      <c r="F75" s="195"/>
      <c r="G75" s="196"/>
      <c r="H75" s="196"/>
      <c r="I75" s="196"/>
      <c r="J75" s="196"/>
      <c r="K75" s="630"/>
    </row>
    <row r="76" spans="1:11" ht="13.5">
      <c r="A76" s="328" t="s">
        <v>603</v>
      </c>
      <c r="B76" s="328"/>
      <c r="C76" s="195"/>
      <c r="D76" s="195">
        <v>3500</v>
      </c>
      <c r="E76" s="195">
        <v>3500</v>
      </c>
      <c r="F76" s="195"/>
      <c r="G76" s="196"/>
      <c r="H76" s="196"/>
      <c r="I76" s="196"/>
      <c r="J76" s="196"/>
      <c r="K76" s="630"/>
    </row>
    <row r="77" spans="1:11" ht="13.5">
      <c r="A77" s="328" t="s">
        <v>604</v>
      </c>
      <c r="B77" s="328"/>
      <c r="C77" s="195"/>
      <c r="D77" s="195">
        <v>2500</v>
      </c>
      <c r="E77" s="195">
        <v>2500</v>
      </c>
      <c r="F77" s="195">
        <v>10000</v>
      </c>
      <c r="G77" s="195">
        <v>15000</v>
      </c>
      <c r="H77" s="195">
        <v>15000</v>
      </c>
      <c r="I77" s="195">
        <v>15000</v>
      </c>
      <c r="J77" s="196"/>
      <c r="K77" s="630"/>
    </row>
    <row r="78" spans="1:11" ht="13.5">
      <c r="A78" s="328" t="s">
        <v>607</v>
      </c>
      <c r="B78" s="328"/>
      <c r="C78" s="195"/>
      <c r="D78" s="195">
        <v>440</v>
      </c>
      <c r="E78" s="195">
        <v>440</v>
      </c>
      <c r="F78" s="195">
        <v>440</v>
      </c>
      <c r="G78" s="195">
        <v>440</v>
      </c>
      <c r="H78" s="195">
        <v>440</v>
      </c>
      <c r="I78" s="196"/>
      <c r="J78" s="196"/>
      <c r="K78" s="630"/>
    </row>
    <row r="79" spans="1:11" ht="13.5">
      <c r="A79" s="328" t="s">
        <v>608</v>
      </c>
      <c r="B79" s="328"/>
      <c r="C79" s="195"/>
      <c r="D79" s="195"/>
      <c r="E79" s="195"/>
      <c r="F79" s="195">
        <v>1500</v>
      </c>
      <c r="G79" s="195">
        <v>1500</v>
      </c>
      <c r="H79" s="195">
        <v>2000</v>
      </c>
      <c r="I79" s="196"/>
      <c r="J79" s="196"/>
      <c r="K79" s="630"/>
    </row>
    <row r="80" spans="1:10" ht="14.25" thickBot="1">
      <c r="A80" s="197" t="s">
        <v>320</v>
      </c>
      <c r="B80" s="197"/>
      <c r="C80" s="198">
        <v>2460</v>
      </c>
      <c r="D80" s="198">
        <v>17440</v>
      </c>
      <c r="E80" s="198">
        <v>18140</v>
      </c>
      <c r="F80" s="198">
        <v>17340</v>
      </c>
      <c r="G80" s="198">
        <v>24840</v>
      </c>
      <c r="H80" s="198">
        <v>18040</v>
      </c>
      <c r="I80" s="198">
        <v>21600</v>
      </c>
      <c r="J80" s="198">
        <v>500</v>
      </c>
    </row>
    <row r="81" spans="3:10" ht="12" customHeight="1" thickTop="1">
      <c r="C81" s="41"/>
      <c r="D81" s="41"/>
      <c r="E81" s="41"/>
      <c r="F81" s="41"/>
      <c r="G81" s="41"/>
      <c r="H81" s="41"/>
      <c r="I81" s="41"/>
      <c r="J81" s="41"/>
    </row>
    <row r="82" spans="1:11" ht="13.5">
      <c r="A82" s="329" t="s">
        <v>377</v>
      </c>
      <c r="B82" s="329"/>
      <c r="C82" s="196"/>
      <c r="D82" s="195">
        <v>2291</v>
      </c>
      <c r="E82" s="195">
        <v>2291</v>
      </c>
      <c r="F82" s="195">
        <v>2291</v>
      </c>
      <c r="G82" s="195">
        <v>2291</v>
      </c>
      <c r="H82" s="195">
        <v>2291</v>
      </c>
      <c r="I82" s="195">
        <v>2291</v>
      </c>
      <c r="J82" s="195">
        <v>2292</v>
      </c>
      <c r="K82" s="630"/>
    </row>
    <row r="83" spans="1:11" ht="13.5">
      <c r="A83" s="329" t="s">
        <v>378</v>
      </c>
      <c r="B83" s="329"/>
      <c r="C83" s="196"/>
      <c r="D83" s="195">
        <v>2566</v>
      </c>
      <c r="E83" s="195">
        <v>2566</v>
      </c>
      <c r="F83" s="195">
        <v>2566</v>
      </c>
      <c r="G83" s="195">
        <v>2566</v>
      </c>
      <c r="H83" s="195">
        <v>2566</v>
      </c>
      <c r="I83" s="195">
        <v>2566</v>
      </c>
      <c r="J83" s="195">
        <v>2566</v>
      </c>
      <c r="K83" s="630"/>
    </row>
    <row r="84" spans="1:11" ht="14.25" thickBot="1">
      <c r="A84" s="199" t="s">
        <v>320</v>
      </c>
      <c r="B84" s="199"/>
      <c r="C84" s="198"/>
      <c r="D84" s="198">
        <v>4857</v>
      </c>
      <c r="E84" s="198">
        <v>4857</v>
      </c>
      <c r="F84" s="198">
        <v>4857</v>
      </c>
      <c r="G84" s="198">
        <v>4857</v>
      </c>
      <c r="H84" s="198">
        <v>4857</v>
      </c>
      <c r="I84" s="198">
        <v>4857</v>
      </c>
      <c r="J84" s="198">
        <v>4858</v>
      </c>
      <c r="K84" s="714"/>
    </row>
    <row r="85" spans="1:11" ht="14.25" thickTop="1">
      <c r="A85" s="200"/>
      <c r="B85" s="200"/>
      <c r="C85" s="201"/>
      <c r="D85" s="201"/>
      <c r="E85" s="201"/>
      <c r="F85" s="201"/>
      <c r="G85" s="201"/>
      <c r="H85" s="201"/>
      <c r="I85" s="201"/>
      <c r="J85" s="201"/>
      <c r="K85" s="714"/>
    </row>
    <row r="86" spans="1:12" ht="13.5">
      <c r="A86" s="200"/>
      <c r="B86" s="200"/>
      <c r="C86" s="201"/>
      <c r="D86" s="201"/>
      <c r="E86" s="201"/>
      <c r="F86" s="201"/>
      <c r="G86" s="201"/>
      <c r="H86" s="201"/>
      <c r="I86" s="201"/>
      <c r="J86" s="201"/>
      <c r="L86" s="714"/>
    </row>
    <row r="87" spans="1:10" ht="14.25" thickBot="1">
      <c r="A87" s="728" t="s">
        <v>396</v>
      </c>
      <c r="B87" s="683" t="s">
        <v>54</v>
      </c>
      <c r="C87" s="683" t="s">
        <v>96</v>
      </c>
      <c r="D87" s="683" t="s">
        <v>97</v>
      </c>
      <c r="E87" s="683" t="s">
        <v>112</v>
      </c>
      <c r="F87" s="683" t="s">
        <v>337</v>
      </c>
      <c r="G87" s="683" t="s">
        <v>338</v>
      </c>
      <c r="H87" s="683" t="s">
        <v>339</v>
      </c>
      <c r="I87" s="683" t="s">
        <v>340</v>
      </c>
      <c r="J87" s="683" t="s">
        <v>341</v>
      </c>
    </row>
    <row r="88" spans="1:10" ht="14.25" thickTop="1">
      <c r="A88" s="18" t="s">
        <v>432</v>
      </c>
      <c r="G88" s="41">
        <v>150000</v>
      </c>
      <c r="H88" s="41">
        <v>90000</v>
      </c>
      <c r="I88" s="41">
        <v>80000</v>
      </c>
      <c r="J88" s="41">
        <v>80000</v>
      </c>
    </row>
    <row r="89" spans="1:10" ht="13.5">
      <c r="A89" s="18" t="s">
        <v>434</v>
      </c>
      <c r="G89" s="41">
        <v>15000</v>
      </c>
      <c r="H89" s="41">
        <v>15000</v>
      </c>
      <c r="I89" s="41"/>
      <c r="J89" s="41"/>
    </row>
    <row r="90" spans="1:10" ht="13.5">
      <c r="A90" s="18" t="s">
        <v>543</v>
      </c>
      <c r="C90" s="41">
        <v>9138</v>
      </c>
      <c r="D90" s="41">
        <v>15343</v>
      </c>
      <c r="E90" s="41">
        <v>14329</v>
      </c>
      <c r="F90" s="41">
        <v>17615</v>
      </c>
      <c r="G90" s="41">
        <v>21571</v>
      </c>
      <c r="H90" s="41">
        <v>22001</v>
      </c>
      <c r="I90" s="41">
        <v>20139</v>
      </c>
      <c r="J90" s="41">
        <v>5095</v>
      </c>
    </row>
    <row r="91" spans="1:10" ht="13.5">
      <c r="A91" s="18" t="s">
        <v>544</v>
      </c>
      <c r="C91" s="41">
        <v>14530</v>
      </c>
      <c r="D91" s="41">
        <v>12682</v>
      </c>
      <c r="E91" s="41">
        <v>13312</v>
      </c>
      <c r="F91" s="41">
        <v>13144</v>
      </c>
      <c r="G91" s="41">
        <v>12960</v>
      </c>
      <c r="H91" s="41">
        <v>8360</v>
      </c>
      <c r="I91" s="41">
        <v>6048</v>
      </c>
      <c r="J91" s="41">
        <v>4560</v>
      </c>
    </row>
    <row r="92" spans="1:10" ht="13.5">
      <c r="A92" s="18" t="s">
        <v>545</v>
      </c>
      <c r="C92" s="41">
        <v>4436</v>
      </c>
      <c r="D92" s="41">
        <v>12357</v>
      </c>
      <c r="E92" s="41">
        <v>14057</v>
      </c>
      <c r="F92" s="41">
        <v>10257</v>
      </c>
      <c r="G92" s="41">
        <v>12757</v>
      </c>
      <c r="H92" s="41">
        <v>5457</v>
      </c>
      <c r="I92" s="41">
        <v>11457</v>
      </c>
      <c r="J92" s="41">
        <v>5358</v>
      </c>
    </row>
    <row r="93" spans="1:10" ht="14.25" thickBot="1">
      <c r="A93" s="716" t="s">
        <v>4</v>
      </c>
      <c r="B93" s="716"/>
      <c r="C93" s="717">
        <v>28104</v>
      </c>
      <c r="D93" s="717">
        <v>40382</v>
      </c>
      <c r="E93" s="717">
        <v>41698</v>
      </c>
      <c r="F93" s="717">
        <v>41016</v>
      </c>
      <c r="G93" s="717">
        <v>212288</v>
      </c>
      <c r="H93" s="717">
        <v>140818</v>
      </c>
      <c r="I93" s="717">
        <v>117644</v>
      </c>
      <c r="J93" s="717">
        <v>95013</v>
      </c>
    </row>
    <row r="94" spans="1:11" s="710" customFormat="1" ht="14.25" thickTop="1">
      <c r="A94" s="18"/>
      <c r="B94" s="18"/>
      <c r="C94" s="18"/>
      <c r="D94" s="41"/>
      <c r="E94" s="41"/>
      <c r="F94" s="41"/>
      <c r="G94" s="41"/>
      <c r="H94" s="41"/>
      <c r="I94" s="41"/>
      <c r="J94" s="41"/>
      <c r="K94" s="18"/>
    </row>
    <row r="95" spans="1:11" s="710" customFormat="1" ht="13.5">
      <c r="A95" s="18"/>
      <c r="B95" s="18"/>
      <c r="C95" s="18"/>
      <c r="D95" s="64"/>
      <c r="E95" s="64"/>
      <c r="F95" s="64"/>
      <c r="G95" s="64"/>
      <c r="H95" s="64"/>
      <c r="I95" s="64"/>
      <c r="J95" s="64"/>
      <c r="K95" s="18"/>
    </row>
    <row r="96" ht="13.5">
      <c r="D96" s="41"/>
    </row>
  </sheetData>
  <sheetProtection/>
  <mergeCells count="1">
    <mergeCell ref="H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Q15" sqref="Q15:Q16"/>
    </sheetView>
  </sheetViews>
  <sheetFormatPr defaultColWidth="9.140625" defaultRowHeight="12.75" outlineLevelRow="1" outlineLevelCol="1"/>
  <cols>
    <col min="1" max="1" width="1.1484375" style="18" customWidth="1"/>
    <col min="2" max="2" width="64.57421875" style="18" customWidth="1"/>
    <col min="3" max="3" width="11.421875" style="18" hidden="1" customWidth="1" outlineLevel="1"/>
    <col min="4" max="4" width="10.00390625" style="18" customWidth="1" collapsed="1"/>
    <col min="5" max="11" width="10.00390625" style="18" customWidth="1"/>
    <col min="12" max="16384" width="9.140625" style="18" customWidth="1"/>
  </cols>
  <sheetData>
    <row r="1" spans="2:11" ht="16.5" customHeight="1">
      <c r="B1" s="684" t="s">
        <v>42</v>
      </c>
      <c r="C1" s="684"/>
      <c r="I1" s="784" t="s">
        <v>620</v>
      </c>
      <c r="J1" s="784"/>
      <c r="K1" s="784"/>
    </row>
    <row r="2" spans="2:11" ht="12.75">
      <c r="B2" s="684" t="s">
        <v>351</v>
      </c>
      <c r="C2" s="684"/>
      <c r="K2" s="685" t="s">
        <v>48</v>
      </c>
    </row>
    <row r="3" spans="2:11" ht="13.5" thickBot="1">
      <c r="B3" s="686"/>
      <c r="C3" s="687">
        <v>2014</v>
      </c>
      <c r="D3" s="687">
        <v>2015</v>
      </c>
      <c r="E3" s="687">
        <v>2016</v>
      </c>
      <c r="F3" s="687">
        <v>2017</v>
      </c>
      <c r="G3" s="687">
        <v>2018</v>
      </c>
      <c r="H3" s="687">
        <v>2019</v>
      </c>
      <c r="I3" s="687">
        <v>2020</v>
      </c>
      <c r="J3" s="687">
        <v>2021</v>
      </c>
      <c r="K3" s="687">
        <v>2022</v>
      </c>
    </row>
    <row r="4" spans="2:11" ht="15.75" customHeight="1">
      <c r="B4" s="15" t="s">
        <v>354</v>
      </c>
      <c r="C4" s="332">
        <f>balans!H72</f>
        <v>11591</v>
      </c>
      <c r="D4" s="332">
        <f>balans!I72</f>
        <v>6462</v>
      </c>
      <c r="E4" s="688">
        <f>D57+D58</f>
        <v>4529</v>
      </c>
      <c r="F4" s="688">
        <f aca="true" t="shared" si="0" ref="F4:K4">E57+E58</f>
        <v>3034</v>
      </c>
      <c r="G4" s="688">
        <f t="shared" si="0"/>
        <v>5710</v>
      </c>
      <c r="H4" s="688">
        <f t="shared" si="0"/>
        <v>8149</v>
      </c>
      <c r="I4" s="688">
        <f t="shared" si="0"/>
        <v>13329</v>
      </c>
      <c r="J4" s="688">
        <f t="shared" si="0"/>
        <v>18489</v>
      </c>
      <c r="K4" s="688">
        <f t="shared" si="0"/>
        <v>23969</v>
      </c>
    </row>
    <row r="5" spans="2:11" ht="12.75">
      <c r="B5" s="689" t="s">
        <v>352</v>
      </c>
      <c r="C5" s="689"/>
      <c r="D5" s="690"/>
      <c r="E5" s="690"/>
      <c r="F5" s="690"/>
      <c r="G5" s="690"/>
      <c r="H5" s="690"/>
      <c r="I5" s="690"/>
      <c r="J5" s="690"/>
      <c r="K5" s="690"/>
    </row>
    <row r="6" spans="1:11" ht="12.75">
      <c r="A6" s="684"/>
      <c r="B6" s="691" t="s">
        <v>353</v>
      </c>
      <c r="C6" s="692">
        <f aca="true" t="shared" si="1" ref="C6:K6">SUM(C7:C12)</f>
        <v>95917</v>
      </c>
      <c r="D6" s="692">
        <f t="shared" si="1"/>
        <v>78137</v>
      </c>
      <c r="E6" s="692">
        <f t="shared" si="1"/>
        <v>81834</v>
      </c>
      <c r="F6" s="692">
        <f t="shared" si="1"/>
        <v>83643</v>
      </c>
      <c r="G6" s="692">
        <f t="shared" si="1"/>
        <v>86115</v>
      </c>
      <c r="H6" s="692">
        <f t="shared" si="1"/>
        <v>90563</v>
      </c>
      <c r="I6" s="692">
        <f t="shared" si="1"/>
        <v>95414</v>
      </c>
      <c r="J6" s="692">
        <f t="shared" si="1"/>
        <v>100244</v>
      </c>
      <c r="K6" s="692">
        <f t="shared" si="1"/>
        <v>105777</v>
      </c>
    </row>
    <row r="7" spans="2:11" ht="12.75">
      <c r="B7" s="693" t="s">
        <v>355</v>
      </c>
      <c r="C7" s="630">
        <v>57561</v>
      </c>
      <c r="D7" s="630">
        <v>51954</v>
      </c>
      <c r="E7" s="630">
        <f>OPR!K9-OPR!K10</f>
        <v>56834</v>
      </c>
      <c r="F7" s="630">
        <f>OPR!L9-OPR!L10</f>
        <v>58516</v>
      </c>
      <c r="G7" s="630">
        <f>OPR!M9-OPR!M10</f>
        <v>60863</v>
      </c>
      <c r="H7" s="630">
        <f>OPR!N9-OPR!N10</f>
        <v>65183</v>
      </c>
      <c r="I7" s="630">
        <f>OPR!O9-OPR!O10</f>
        <v>68016</v>
      </c>
      <c r="J7" s="630">
        <f>OPR!P9-OPR!P10</f>
        <v>72703</v>
      </c>
      <c r="K7" s="630">
        <f>OPR!Q9-OPR!Q10</f>
        <v>78108</v>
      </c>
    </row>
    <row r="8" spans="2:11" ht="12.75">
      <c r="B8" s="693" t="s">
        <v>9</v>
      </c>
      <c r="C8" s="630">
        <v>18359</v>
      </c>
      <c r="D8" s="630">
        <v>16175</v>
      </c>
      <c r="E8" s="630">
        <f>OPR!K10</f>
        <v>16175</v>
      </c>
      <c r="F8" s="630">
        <f>OPR!L10</f>
        <v>16175</v>
      </c>
      <c r="G8" s="630">
        <f>OPR!M10</f>
        <v>16175</v>
      </c>
      <c r="H8" s="630">
        <f>OPR!N10</f>
        <v>16175</v>
      </c>
      <c r="I8" s="630">
        <f>OPR!O10</f>
        <v>18062</v>
      </c>
      <c r="J8" s="630">
        <f>OPR!P10</f>
        <v>18062</v>
      </c>
      <c r="K8" s="630">
        <f>OPR!Q10</f>
        <v>18062</v>
      </c>
    </row>
    <row r="9" spans="2:11" ht="12.75">
      <c r="B9" s="693" t="s">
        <v>356</v>
      </c>
      <c r="C9" s="630">
        <f>5791+37</f>
        <v>5828</v>
      </c>
      <c r="D9" s="630">
        <v>2666</v>
      </c>
      <c r="E9" s="630">
        <f>OPR!K14</f>
        <v>2922</v>
      </c>
      <c r="F9" s="630">
        <f>OPR!L14</f>
        <v>2986</v>
      </c>
      <c r="G9" s="630">
        <f>OPR!M14</f>
        <v>3052</v>
      </c>
      <c r="H9" s="630">
        <f>OPR!N14</f>
        <v>3119</v>
      </c>
      <c r="I9" s="630">
        <f>OPR!O14</f>
        <v>3188</v>
      </c>
      <c r="J9" s="630">
        <f>OPR!P14</f>
        <v>3258</v>
      </c>
      <c r="K9" s="630">
        <f>OPR!Q14</f>
        <v>3330</v>
      </c>
    </row>
    <row r="10" spans="2:11" ht="12.75">
      <c r="B10" s="693" t="s">
        <v>357</v>
      </c>
      <c r="C10" s="85">
        <v>8040</v>
      </c>
      <c r="D10" s="85">
        <v>3504</v>
      </c>
      <c r="E10" s="85">
        <f>3000+77+213</f>
        <v>3290</v>
      </c>
      <c r="F10" s="85">
        <f>3000+79+218</f>
        <v>3297</v>
      </c>
      <c r="G10" s="85">
        <f>3000+82+222</f>
        <v>3304</v>
      </c>
      <c r="H10" s="85">
        <f>3000+84+227</f>
        <v>3311</v>
      </c>
      <c r="I10" s="85">
        <f>3000+87+232</f>
        <v>3319</v>
      </c>
      <c r="J10" s="85">
        <f>3000+90+237</f>
        <v>3327</v>
      </c>
      <c r="K10" s="85">
        <f>3000+93+243</f>
        <v>3336</v>
      </c>
    </row>
    <row r="11" spans="2:11" ht="12.75">
      <c r="B11" s="693" t="s">
        <v>358</v>
      </c>
      <c r="C11" s="630">
        <f>7+3667</f>
        <v>3674</v>
      </c>
      <c r="D11" s="630">
        <f>875+240+1047</f>
        <v>2162</v>
      </c>
      <c r="E11" s="630">
        <f>OPR!K19+OPR!K18</f>
        <v>1616</v>
      </c>
      <c r="F11" s="630">
        <f>OPR!L19+OPR!L18</f>
        <v>1657</v>
      </c>
      <c r="G11" s="630">
        <f>OPR!M19+OPR!M18</f>
        <v>1693</v>
      </c>
      <c r="H11" s="630">
        <f>OPR!N19+OPR!N18</f>
        <v>1730</v>
      </c>
      <c r="I11" s="630">
        <f>OPR!O19+OPR!O18</f>
        <v>1768</v>
      </c>
      <c r="J11" s="630">
        <f>OPR!P19+OPR!P18</f>
        <v>1816</v>
      </c>
      <c r="K11" s="630">
        <f>OPR!Q19+OPR!Q18</f>
        <v>1846</v>
      </c>
    </row>
    <row r="12" spans="2:11" ht="12.75">
      <c r="B12" s="693" t="s">
        <v>34</v>
      </c>
      <c r="C12" s="630">
        <f>2455</f>
        <v>2455</v>
      </c>
      <c r="D12" s="630">
        <v>1676</v>
      </c>
      <c r="E12" s="630">
        <f>OPR!K12</f>
        <v>997</v>
      </c>
      <c r="F12" s="630">
        <f>OPR!L12</f>
        <v>1012</v>
      </c>
      <c r="G12" s="630">
        <f>OPR!M12</f>
        <v>1028</v>
      </c>
      <c r="H12" s="630">
        <f>OPR!N12</f>
        <v>1045</v>
      </c>
      <c r="I12" s="630">
        <f>OPR!O12</f>
        <v>1061</v>
      </c>
      <c r="J12" s="630">
        <f>OPR!P12</f>
        <v>1078</v>
      </c>
      <c r="K12" s="630">
        <f>OPR!Q12</f>
        <v>1095</v>
      </c>
    </row>
    <row r="13" spans="1:11" ht="12.75">
      <c r="A13" s="684"/>
      <c r="B13" s="691" t="s">
        <v>359</v>
      </c>
      <c r="C13" s="692">
        <f>SUM(C14:C30)</f>
        <v>209090</v>
      </c>
      <c r="D13" s="692">
        <f>SUM(D14:D30)</f>
        <v>216703</v>
      </c>
      <c r="E13" s="692">
        <f>SUM(E14:E30)</f>
        <v>210162</v>
      </c>
      <c r="F13" s="692">
        <f aca="true" t="shared" si="2" ref="F13:K13">SUM(F14:F30)</f>
        <v>212168</v>
      </c>
      <c r="G13" s="692">
        <f t="shared" si="2"/>
        <v>214619</v>
      </c>
      <c r="H13" s="692">
        <f t="shared" si="2"/>
        <v>215137</v>
      </c>
      <c r="I13" s="692">
        <f t="shared" si="2"/>
        <v>217515</v>
      </c>
      <c r="J13" s="692">
        <f t="shared" si="2"/>
        <v>222774</v>
      </c>
      <c r="K13" s="692">
        <f t="shared" si="2"/>
        <v>227618</v>
      </c>
    </row>
    <row r="14" spans="2:11" ht="12.75">
      <c r="B14" s="693" t="s">
        <v>360</v>
      </c>
      <c r="C14" s="630">
        <v>77151</v>
      </c>
      <c r="D14" s="630">
        <v>80256</v>
      </c>
      <c r="E14" s="630">
        <f>OPR!K44+OPR!K45</f>
        <v>66734</v>
      </c>
      <c r="F14" s="630">
        <f>OPR!L44+OPR!L45</f>
        <v>66299</v>
      </c>
      <c r="G14" s="630">
        <f>OPR!M44+OPR!M45</f>
        <v>65881</v>
      </c>
      <c r="H14" s="630">
        <f>OPR!N44+OPR!N45</f>
        <v>68360</v>
      </c>
      <c r="I14" s="630">
        <f>OPR!O44+OPR!O45</f>
        <v>70280</v>
      </c>
      <c r="J14" s="630">
        <f>OPR!P44+OPR!P45</f>
        <v>73399</v>
      </c>
      <c r="K14" s="630">
        <f>OPR!Q44+OPR!Q45</f>
        <v>77064</v>
      </c>
    </row>
    <row r="15" spans="2:11" ht="12.75">
      <c r="B15" s="694" t="s">
        <v>636</v>
      </c>
      <c r="C15" s="630"/>
      <c r="D15" s="695">
        <v>816</v>
      </c>
      <c r="E15" s="695">
        <f>INT(OPR!K46*1.09+0.5)</f>
        <v>929</v>
      </c>
      <c r="F15" s="695">
        <f>INT(OPR!L46*1.09+0.5)</f>
        <v>959</v>
      </c>
      <c r="G15" s="695">
        <f>INT(OPR!M46*1.09+0.5)</f>
        <v>991</v>
      </c>
      <c r="H15" s="695">
        <f>INT(OPR!N46*1.09+0.5)</f>
        <v>1021</v>
      </c>
      <c r="I15" s="695">
        <f>INT(OPR!O46*1.09+0.5)</f>
        <v>1051</v>
      </c>
      <c r="J15" s="695">
        <f>INT(OPR!P46*1.09+0.5)</f>
        <v>1086</v>
      </c>
      <c r="K15" s="695">
        <f>INT(OPR!Q46*1.09+0.5)</f>
        <v>1124</v>
      </c>
    </row>
    <row r="16" spans="2:11" ht="12.75">
      <c r="B16" s="693" t="s">
        <v>361</v>
      </c>
      <c r="C16" s="630">
        <v>12293</v>
      </c>
      <c r="D16" s="630">
        <v>9603</v>
      </c>
      <c r="E16" s="630">
        <f>OPR!K27</f>
        <v>8742</v>
      </c>
      <c r="F16" s="630">
        <f>OPR!L27</f>
        <v>9066</v>
      </c>
      <c r="G16" s="630">
        <f>OPR!M27</f>
        <v>9397</v>
      </c>
      <c r="H16" s="630">
        <f>OPR!N27</f>
        <v>9872</v>
      </c>
      <c r="I16" s="630">
        <f>OPR!O27</f>
        <v>9939</v>
      </c>
      <c r="J16" s="630">
        <f>OPR!P27</f>
        <v>10304</v>
      </c>
      <c r="K16" s="630">
        <f>OPR!Q27</f>
        <v>10683</v>
      </c>
    </row>
    <row r="17" spans="2:11" ht="12.75">
      <c r="B17" s="693" t="s">
        <v>362</v>
      </c>
      <c r="C17" s="630">
        <v>40853</v>
      </c>
      <c r="D17" s="630">
        <v>38954</v>
      </c>
      <c r="E17" s="630">
        <f>OPR!K28+OPR!K29</f>
        <v>41232</v>
      </c>
      <c r="F17" s="630">
        <f>OPR!L28+OPR!L29</f>
        <v>42549</v>
      </c>
      <c r="G17" s="630">
        <f>OPR!M28+OPR!M29</f>
        <v>43761</v>
      </c>
      <c r="H17" s="630">
        <f>OPR!N28+OPR!N29</f>
        <v>39038</v>
      </c>
      <c r="I17" s="630">
        <f>OPR!O28+OPR!O29</f>
        <v>37321</v>
      </c>
      <c r="J17" s="630">
        <f>OPR!P28+OPR!P29</f>
        <v>36727</v>
      </c>
      <c r="K17" s="630">
        <f>OPR!Q28+OPR!Q29</f>
        <v>35107</v>
      </c>
    </row>
    <row r="18" spans="2:11" ht="12.75">
      <c r="B18" s="693" t="s">
        <v>363</v>
      </c>
      <c r="C18" s="630">
        <v>7541</v>
      </c>
      <c r="D18" s="630">
        <v>10701</v>
      </c>
      <c r="E18" s="630">
        <f>OPR!K25</f>
        <v>11602</v>
      </c>
      <c r="F18" s="630">
        <f>OPR!L25</f>
        <v>11857</v>
      </c>
      <c r="G18" s="630">
        <f>OPR!M25</f>
        <v>12118</v>
      </c>
      <c r="H18" s="630">
        <f>OPR!N25</f>
        <v>12385</v>
      </c>
      <c r="I18" s="630">
        <f>OPR!O25</f>
        <v>12657</v>
      </c>
      <c r="J18" s="630">
        <f>OPR!P25</f>
        <v>12935</v>
      </c>
      <c r="K18" s="630">
        <f>OPR!Q25</f>
        <v>13220</v>
      </c>
    </row>
    <row r="19" spans="2:11" ht="12.75">
      <c r="B19" s="696" t="s">
        <v>624</v>
      </c>
      <c r="C19" s="630"/>
      <c r="D19" s="695">
        <v>749</v>
      </c>
      <c r="E19" s="630"/>
      <c r="F19" s="630"/>
      <c r="G19" s="630"/>
      <c r="H19" s="630"/>
      <c r="I19" s="630"/>
      <c r="J19" s="630"/>
      <c r="K19" s="630"/>
    </row>
    <row r="20" spans="2:11" ht="12.75">
      <c r="B20" s="693" t="s">
        <v>36</v>
      </c>
      <c r="C20" s="630">
        <v>19020</v>
      </c>
      <c r="D20" s="630">
        <v>24384</v>
      </c>
      <c r="E20" s="630">
        <f>OPR!K32</f>
        <v>25817</v>
      </c>
      <c r="F20" s="630">
        <f>OPR!L32</f>
        <v>25869</v>
      </c>
      <c r="G20" s="630">
        <f>OPR!M32</f>
        <v>26427</v>
      </c>
      <c r="H20" s="630">
        <f>OPR!N32</f>
        <v>28875</v>
      </c>
      <c r="I20" s="630">
        <f>OPR!O32</f>
        <v>30584</v>
      </c>
      <c r="J20" s="630">
        <f>OPR!P32</f>
        <v>32494</v>
      </c>
      <c r="K20" s="630">
        <f>OPR!Q32</f>
        <v>34418</v>
      </c>
    </row>
    <row r="21" spans="2:11" ht="12.75">
      <c r="B21" s="693" t="s">
        <v>364</v>
      </c>
      <c r="C21" s="630">
        <v>5009</v>
      </c>
      <c r="D21" s="630">
        <v>7494</v>
      </c>
      <c r="E21" s="630">
        <f>OPR!K47</f>
        <v>9062</v>
      </c>
      <c r="F21" s="630">
        <f>OPR!L47</f>
        <v>9261</v>
      </c>
      <c r="G21" s="630">
        <f>OPR!M47</f>
        <v>9465</v>
      </c>
      <c r="H21" s="630">
        <f>OPR!N47</f>
        <v>9673</v>
      </c>
      <c r="I21" s="630">
        <f>OPR!O47</f>
        <v>9886</v>
      </c>
      <c r="J21" s="630">
        <f>OPR!P47</f>
        <v>10103</v>
      </c>
      <c r="K21" s="630">
        <f>OPR!Q47</f>
        <v>10325</v>
      </c>
    </row>
    <row r="22" spans="2:11" ht="12.75">
      <c r="B22" s="693" t="s">
        <v>365</v>
      </c>
      <c r="C22" s="85">
        <v>35017</v>
      </c>
      <c r="D22" s="85">
        <v>30812</v>
      </c>
      <c r="E22" s="85">
        <f>OPR!K33</f>
        <v>31682</v>
      </c>
      <c r="F22" s="85">
        <f>OPR!L33</f>
        <v>31682</v>
      </c>
      <c r="G22" s="85">
        <f>OPR!M33</f>
        <v>31682</v>
      </c>
      <c r="H22" s="85">
        <f>OPR!N33</f>
        <v>30739</v>
      </c>
      <c r="I22" s="85">
        <f>OPR!O33</f>
        <v>30340</v>
      </c>
      <c r="J22" s="85">
        <f>OPR!P33</f>
        <v>29979</v>
      </c>
      <c r="K22" s="85">
        <f>OPR!Q33</f>
        <v>29633</v>
      </c>
    </row>
    <row r="23" spans="2:11" ht="12.75">
      <c r="B23" s="693" t="s">
        <v>366</v>
      </c>
      <c r="C23" s="85">
        <v>4054</v>
      </c>
      <c r="D23" s="85">
        <v>3012</v>
      </c>
      <c r="E23" s="85">
        <f>OPR!K34</f>
        <v>3066</v>
      </c>
      <c r="F23" s="85">
        <f>OPR!L34</f>
        <v>3133</v>
      </c>
      <c r="G23" s="85">
        <f>OPR!M34</f>
        <v>3202</v>
      </c>
      <c r="H23" s="85">
        <f>OPR!N34</f>
        <v>3272</v>
      </c>
      <c r="I23" s="85">
        <f>OPR!O34</f>
        <v>3344</v>
      </c>
      <c r="J23" s="85">
        <f>OPR!P34</f>
        <v>3418</v>
      </c>
      <c r="K23" s="85">
        <f>OPR!Q34</f>
        <v>3493</v>
      </c>
    </row>
    <row r="24" spans="2:11" ht="12.75">
      <c r="B24" s="696" t="s">
        <v>596</v>
      </c>
      <c r="C24" s="85"/>
      <c r="D24" s="85"/>
      <c r="E24" s="409">
        <f>OPR!K35</f>
        <v>3203</v>
      </c>
      <c r="F24" s="409">
        <f>OPR!L35</f>
        <v>3273</v>
      </c>
      <c r="G24" s="409">
        <f>OPR!M35</f>
        <v>3345</v>
      </c>
      <c r="H24" s="409">
        <f>OPR!N35</f>
        <v>3419</v>
      </c>
      <c r="I24" s="409">
        <f>OPR!O35</f>
        <v>3494</v>
      </c>
      <c r="J24" s="409">
        <f>OPR!P35</f>
        <v>3571</v>
      </c>
      <c r="K24" s="409">
        <f>OPR!Q35</f>
        <v>3650</v>
      </c>
    </row>
    <row r="25" spans="2:11" ht="12.75">
      <c r="B25" s="696" t="s">
        <v>597</v>
      </c>
      <c r="C25" s="85"/>
      <c r="D25" s="85"/>
      <c r="E25" s="409">
        <f>OPR!K36</f>
        <v>4515</v>
      </c>
      <c r="F25" s="409">
        <f>OPR!L36</f>
        <v>4614</v>
      </c>
      <c r="G25" s="409">
        <f>OPR!M36</f>
        <v>4716</v>
      </c>
      <c r="H25" s="409">
        <f>OPR!N36</f>
        <v>4820</v>
      </c>
      <c r="I25" s="409">
        <f>OPR!O36</f>
        <v>4926</v>
      </c>
      <c r="J25" s="409">
        <f>OPR!P36</f>
        <v>5034</v>
      </c>
      <c r="K25" s="409">
        <f>OPR!Q36</f>
        <v>5145</v>
      </c>
    </row>
    <row r="26" spans="2:11" ht="12.75">
      <c r="B26" s="693" t="s">
        <v>367</v>
      </c>
      <c r="C26" s="630">
        <v>2310</v>
      </c>
      <c r="D26" s="630">
        <v>1308</v>
      </c>
      <c r="E26" s="630">
        <f>INT(OPR!K43*1.2+0.5)</f>
        <v>1278</v>
      </c>
      <c r="F26" s="630">
        <f>INT(OPR!L43*1.2+0.5)</f>
        <v>1306</v>
      </c>
      <c r="G26" s="630">
        <f>INT(OPR!M43*1.2+0.5)</f>
        <v>1334</v>
      </c>
      <c r="H26" s="630">
        <f>INT(OPR!N43*1.2+0.5)</f>
        <v>1363</v>
      </c>
      <c r="I26" s="630">
        <f>INT(OPR!O43*1.2+0.5)</f>
        <v>1393</v>
      </c>
      <c r="J26" s="630">
        <f>INT(OPR!P43*1.2+0.5)</f>
        <v>1424</v>
      </c>
      <c r="K26" s="630">
        <f>INT(OPR!Q43*1.2+0.5)</f>
        <v>1456</v>
      </c>
    </row>
    <row r="27" spans="2:11" ht="14.25" customHeight="1">
      <c r="B27" s="693" t="s">
        <v>358</v>
      </c>
      <c r="C27" s="630">
        <f>14296-650+210-12871+650+210</f>
        <v>1845</v>
      </c>
      <c r="D27" s="630">
        <f>1050+180+300</f>
        <v>1530</v>
      </c>
      <c r="E27" s="630">
        <f>OPR!K42+OPR!K40</f>
        <v>500</v>
      </c>
      <c r="F27" s="630">
        <f>OPR!L42+OPR!L40</f>
        <v>500</v>
      </c>
      <c r="G27" s="630">
        <f>OPR!M42+OPR!M40</f>
        <v>500</v>
      </c>
      <c r="H27" s="630">
        <f>OPR!N42+OPR!N40</f>
        <v>500</v>
      </c>
      <c r="I27" s="630">
        <f>OPR!O42+OPR!O40</f>
        <v>500</v>
      </c>
      <c r="J27" s="630">
        <f>OPR!P42+OPR!P40</f>
        <v>500</v>
      </c>
      <c r="K27" s="630">
        <f>OPR!Q42+OPR!Q40</f>
        <v>500</v>
      </c>
    </row>
    <row r="28" spans="2:11" ht="14.25" customHeight="1">
      <c r="B28" s="693" t="s">
        <v>368</v>
      </c>
      <c r="C28" s="630">
        <v>76</v>
      </c>
      <c r="D28" s="630">
        <v>5779</v>
      </c>
      <c r="E28" s="695">
        <v>500</v>
      </c>
      <c r="F28" s="695">
        <v>500</v>
      </c>
      <c r="G28" s="695">
        <v>500</v>
      </c>
      <c r="H28" s="695">
        <v>500</v>
      </c>
      <c r="I28" s="695">
        <v>500</v>
      </c>
      <c r="J28" s="695">
        <v>500</v>
      </c>
      <c r="K28" s="695">
        <v>500</v>
      </c>
    </row>
    <row r="29" spans="2:11" ht="14.25" customHeight="1">
      <c r="B29" s="697" t="s">
        <v>369</v>
      </c>
      <c r="C29" s="630">
        <v>3723</v>
      </c>
      <c r="D29" s="630">
        <v>1000</v>
      </c>
      <c r="E29" s="695">
        <v>1000</v>
      </c>
      <c r="F29" s="695">
        <v>1000</v>
      </c>
      <c r="G29" s="695">
        <v>1000</v>
      </c>
      <c r="H29" s="695">
        <v>1000</v>
      </c>
      <c r="I29" s="695">
        <v>1000</v>
      </c>
      <c r="J29" s="695">
        <v>1000</v>
      </c>
      <c r="K29" s="695">
        <v>1000</v>
      </c>
    </row>
    <row r="30" spans="2:11" ht="14.25" customHeight="1">
      <c r="B30" s="693" t="s">
        <v>370</v>
      </c>
      <c r="C30" s="630">
        <v>198</v>
      </c>
      <c r="D30" s="630">
        <v>305</v>
      </c>
      <c r="E30" s="630">
        <v>300</v>
      </c>
      <c r="F30" s="630">
        <v>300</v>
      </c>
      <c r="G30" s="630">
        <v>300</v>
      </c>
      <c r="H30" s="630">
        <v>300</v>
      </c>
      <c r="I30" s="630">
        <v>300</v>
      </c>
      <c r="J30" s="630">
        <v>300</v>
      </c>
      <c r="K30" s="630">
        <v>300</v>
      </c>
    </row>
    <row r="31" spans="2:11" ht="12.75">
      <c r="B31" s="577" t="s">
        <v>371</v>
      </c>
      <c r="C31" s="618">
        <f aca="true" t="shared" si="3" ref="C31:K31">C6-C13</f>
        <v>-113173</v>
      </c>
      <c r="D31" s="618">
        <f t="shared" si="3"/>
        <v>-138566</v>
      </c>
      <c r="E31" s="618">
        <f t="shared" si="3"/>
        <v>-128328</v>
      </c>
      <c r="F31" s="618">
        <f t="shared" si="3"/>
        <v>-128525</v>
      </c>
      <c r="G31" s="618">
        <f t="shared" si="3"/>
        <v>-128504</v>
      </c>
      <c r="H31" s="618">
        <f t="shared" si="3"/>
        <v>-124574</v>
      </c>
      <c r="I31" s="618">
        <f t="shared" si="3"/>
        <v>-122101</v>
      </c>
      <c r="J31" s="618">
        <f t="shared" si="3"/>
        <v>-122530</v>
      </c>
      <c r="K31" s="618">
        <f t="shared" si="3"/>
        <v>-121841</v>
      </c>
    </row>
    <row r="32" spans="2:11" ht="12.75">
      <c r="B32" s="689" t="s">
        <v>372</v>
      </c>
      <c r="C32" s="698"/>
      <c r="D32" s="698"/>
      <c r="E32" s="698"/>
      <c r="F32" s="698"/>
      <c r="G32" s="698"/>
      <c r="H32" s="698"/>
      <c r="I32" s="698"/>
      <c r="J32" s="698"/>
      <c r="K32" s="698"/>
    </row>
    <row r="33" spans="1:11" ht="12.75">
      <c r="A33" s="684"/>
      <c r="B33" s="691" t="s">
        <v>353</v>
      </c>
      <c r="C33" s="692">
        <f aca="true" t="shared" si="4" ref="C33:K33">SUM(C34:C34)</f>
        <v>0</v>
      </c>
      <c r="D33" s="692">
        <v>5655</v>
      </c>
      <c r="E33" s="692">
        <f t="shared" si="4"/>
        <v>9147</v>
      </c>
      <c r="F33" s="692">
        <f t="shared" si="4"/>
        <v>5700</v>
      </c>
      <c r="G33" s="692">
        <f t="shared" si="4"/>
        <v>6210</v>
      </c>
      <c r="H33" s="692">
        <f t="shared" si="4"/>
        <v>6269</v>
      </c>
      <c r="I33" s="692">
        <f t="shared" si="4"/>
        <v>3935</v>
      </c>
      <c r="J33" s="692">
        <f t="shared" si="4"/>
        <v>2874</v>
      </c>
      <c r="K33" s="692">
        <f t="shared" si="4"/>
        <v>2048</v>
      </c>
    </row>
    <row r="34" spans="2:11" ht="12.75">
      <c r="B34" s="693" t="s">
        <v>373</v>
      </c>
      <c r="C34" s="630"/>
      <c r="D34" s="630">
        <v>5655</v>
      </c>
      <c r="E34" s="630">
        <f>OPR!K58</f>
        <v>9147</v>
      </c>
      <c r="F34" s="630">
        <f>OPR!L58</f>
        <v>5700</v>
      </c>
      <c r="G34" s="630">
        <f>OPR!M58</f>
        <v>6210</v>
      </c>
      <c r="H34" s="630">
        <f>OPR!N58</f>
        <v>6269</v>
      </c>
      <c r="I34" s="630">
        <f>OPR!O58</f>
        <v>3935</v>
      </c>
      <c r="J34" s="630">
        <f>OPR!P58</f>
        <v>2874</v>
      </c>
      <c r="K34" s="630">
        <f>OPR!Q58</f>
        <v>2048</v>
      </c>
    </row>
    <row r="35" spans="1:11" ht="12.75">
      <c r="A35" s="684"/>
      <c r="B35" s="691" t="s">
        <v>359</v>
      </c>
      <c r="C35" s="692">
        <f>SUM(C36:C41)</f>
        <v>18994</v>
      </c>
      <c r="D35" s="692">
        <f>SUM(D36:D41)</f>
        <v>28104</v>
      </c>
      <c r="E35" s="692">
        <f aca="true" t="shared" si="5" ref="E35:K35">SUM(E36:E41)</f>
        <v>102397</v>
      </c>
      <c r="F35" s="692">
        <f t="shared" si="5"/>
        <v>103323</v>
      </c>
      <c r="G35" s="692">
        <f t="shared" si="5"/>
        <v>102639</v>
      </c>
      <c r="H35" s="692">
        <f t="shared" si="5"/>
        <v>109259</v>
      </c>
      <c r="I35" s="692">
        <f t="shared" si="5"/>
        <v>97286</v>
      </c>
      <c r="J35" s="692">
        <f t="shared" si="5"/>
        <v>93143</v>
      </c>
      <c r="K35" s="692">
        <f t="shared" si="5"/>
        <v>71532</v>
      </c>
    </row>
    <row r="36" spans="2:11" ht="12.75">
      <c r="B36" s="693" t="s">
        <v>622</v>
      </c>
      <c r="C36" s="679"/>
      <c r="D36" s="679">
        <v>0</v>
      </c>
      <c r="E36" s="679">
        <f>E55</f>
        <v>63000</v>
      </c>
      <c r="F36" s="679">
        <f aca="true" t="shared" si="6" ref="F36:K36">F55</f>
        <v>63000</v>
      </c>
      <c r="G36" s="679">
        <f t="shared" si="6"/>
        <v>63000</v>
      </c>
      <c r="H36" s="679">
        <f t="shared" si="6"/>
        <v>63000</v>
      </c>
      <c r="I36" s="679">
        <f t="shared" si="6"/>
        <v>63000</v>
      </c>
      <c r="J36" s="679">
        <f t="shared" si="6"/>
        <v>57000</v>
      </c>
      <c r="K36" s="679">
        <f t="shared" si="6"/>
        <v>58000</v>
      </c>
    </row>
    <row r="37" spans="2:11" ht="12.75">
      <c r="B37" s="696" t="s">
        <v>625</v>
      </c>
      <c r="C37" s="679"/>
      <c r="D37" s="699">
        <v>1872</v>
      </c>
      <c r="E37" s="679"/>
      <c r="F37" s="679"/>
      <c r="G37" s="679"/>
      <c r="H37" s="679"/>
      <c r="I37" s="679"/>
      <c r="J37" s="679"/>
      <c r="K37" s="679"/>
    </row>
    <row r="38" spans="2:13" ht="12.75">
      <c r="B38" s="693" t="s">
        <v>374</v>
      </c>
      <c r="C38" s="679"/>
      <c r="D38" s="679">
        <v>6424</v>
      </c>
      <c r="E38" s="679">
        <f>E85</f>
        <v>17440</v>
      </c>
      <c r="F38" s="679">
        <f aca="true" t="shared" si="7" ref="F38:K38">F85</f>
        <v>18140</v>
      </c>
      <c r="G38" s="679">
        <f t="shared" si="7"/>
        <v>17340</v>
      </c>
      <c r="H38" s="679">
        <f t="shared" si="7"/>
        <v>24840</v>
      </c>
      <c r="I38" s="679">
        <f t="shared" si="7"/>
        <v>18040</v>
      </c>
      <c r="J38" s="679">
        <f t="shared" si="7"/>
        <v>21600</v>
      </c>
      <c r="K38" s="679">
        <f t="shared" si="7"/>
        <v>500</v>
      </c>
      <c r="L38" s="630"/>
      <c r="M38" s="630"/>
    </row>
    <row r="39" spans="2:13" ht="12.75">
      <c r="B39" s="693" t="s">
        <v>375</v>
      </c>
      <c r="C39" s="630">
        <f>17197-6668</f>
        <v>10529</v>
      </c>
      <c r="D39" s="630">
        <f>13002+1070</f>
        <v>14072</v>
      </c>
      <c r="E39" s="630">
        <f>remont!E12+INT(remont!E22*0.7+0.5)</f>
        <v>12682</v>
      </c>
      <c r="F39" s="630">
        <f>remont!F12+INT(remont!F22*0.7+0.5)</f>
        <v>12918</v>
      </c>
      <c r="G39" s="630">
        <f>remont!G12+INT(remont!G22*0.7+0.5)</f>
        <v>12743</v>
      </c>
      <c r="H39" s="630">
        <f>remont!H12+INT(remont!H22*0.7+0.5)</f>
        <v>12960</v>
      </c>
      <c r="I39" s="630">
        <f>remont!I12+INT(remont!I22*0.7+0.5)</f>
        <v>7836</v>
      </c>
      <c r="J39" s="630">
        <f>remont!J12+INT(remont!J22*0.7+0.5)</f>
        <v>5639</v>
      </c>
      <c r="K39" s="630">
        <f>remont!K12+INT(remont!K22*0.7+0.5)</f>
        <v>4157</v>
      </c>
      <c r="L39" s="630"/>
      <c r="M39" s="630"/>
    </row>
    <row r="40" spans="2:13" ht="12.75">
      <c r="B40" s="693" t="s">
        <v>376</v>
      </c>
      <c r="C40" s="630">
        <f>2217-420</f>
        <v>1797</v>
      </c>
      <c r="D40" s="630">
        <f>2720+2580</f>
        <v>5300</v>
      </c>
      <c r="E40" s="630">
        <f>remont!E37+INT(remont!E44*0.7+0.5)</f>
        <v>4418</v>
      </c>
      <c r="F40" s="630">
        <f>remont!F37+INT(remont!F44*0.7+0.5)</f>
        <v>4408</v>
      </c>
      <c r="G40" s="630">
        <f>remont!G37+INT(remont!G44*0.7+0.5)</f>
        <v>4699</v>
      </c>
      <c r="H40" s="630">
        <f>remont!H37+INT(remont!H44*0.7+0.5)</f>
        <v>3602</v>
      </c>
      <c r="I40" s="630">
        <f>remont!I37+INT(remont!I44*0.7+0.5)</f>
        <v>3553</v>
      </c>
      <c r="J40" s="630">
        <f>remont!J37+INT(remont!J44*0.7+0.5)</f>
        <v>4047</v>
      </c>
      <c r="K40" s="630">
        <f>remont!K37+INT(remont!K44*0.7+0.5)</f>
        <v>4017</v>
      </c>
      <c r="L40" s="630"/>
      <c r="M40" s="630"/>
    </row>
    <row r="41" spans="2:13" ht="12.75">
      <c r="B41" s="693" t="s">
        <v>502</v>
      </c>
      <c r="C41" s="630">
        <v>6668</v>
      </c>
      <c r="D41" s="630">
        <f>241+195</f>
        <v>436</v>
      </c>
      <c r="E41" s="630">
        <f>E88+E87</f>
        <v>4857</v>
      </c>
      <c r="F41" s="630">
        <f aca="true" t="shared" si="8" ref="F41:K41">F88+F87</f>
        <v>4857</v>
      </c>
      <c r="G41" s="630">
        <f t="shared" si="8"/>
        <v>4857</v>
      </c>
      <c r="H41" s="630">
        <f t="shared" si="8"/>
        <v>4857</v>
      </c>
      <c r="I41" s="630">
        <f t="shared" si="8"/>
        <v>4857</v>
      </c>
      <c r="J41" s="630">
        <f t="shared" si="8"/>
        <v>4857</v>
      </c>
      <c r="K41" s="630">
        <f t="shared" si="8"/>
        <v>4858</v>
      </c>
      <c r="L41" s="630"/>
      <c r="M41" s="630"/>
    </row>
    <row r="42" spans="2:11" ht="12.75">
      <c r="B42" s="577" t="s">
        <v>379</v>
      </c>
      <c r="C42" s="700">
        <f>C33-C35</f>
        <v>-18994</v>
      </c>
      <c r="D42" s="700">
        <f>D33-D35</f>
        <v>-22449</v>
      </c>
      <c r="E42" s="700">
        <f aca="true" t="shared" si="9" ref="E42:K42">E33-E35</f>
        <v>-93250</v>
      </c>
      <c r="F42" s="700">
        <f t="shared" si="9"/>
        <v>-97623</v>
      </c>
      <c r="G42" s="700">
        <f t="shared" si="9"/>
        <v>-96429</v>
      </c>
      <c r="H42" s="700">
        <f t="shared" si="9"/>
        <v>-102990</v>
      </c>
      <c r="I42" s="700">
        <f t="shared" si="9"/>
        <v>-93351</v>
      </c>
      <c r="J42" s="700">
        <f t="shared" si="9"/>
        <v>-90269</v>
      </c>
      <c r="K42" s="700">
        <f t="shared" si="9"/>
        <v>-69484</v>
      </c>
    </row>
    <row r="43" spans="2:11" ht="12.75">
      <c r="B43" s="689" t="s">
        <v>380</v>
      </c>
      <c r="C43" s="698"/>
      <c r="D43" s="698"/>
      <c r="E43" s="698"/>
      <c r="F43" s="698"/>
      <c r="G43" s="698"/>
      <c r="H43" s="698"/>
      <c r="I43" s="698"/>
      <c r="J43" s="698"/>
      <c r="K43" s="698"/>
    </row>
    <row r="44" spans="1:11" ht="12.75">
      <c r="A44" s="684"/>
      <c r="B44" s="691" t="s">
        <v>353</v>
      </c>
      <c r="C44" s="692">
        <f>C45</f>
        <v>2217</v>
      </c>
      <c r="D44" s="692">
        <v>1885</v>
      </c>
      <c r="E44" s="692">
        <f aca="true" t="shared" si="10" ref="E44:K44">E45</f>
        <v>1841</v>
      </c>
      <c r="F44" s="692">
        <f t="shared" si="10"/>
        <v>1798</v>
      </c>
      <c r="G44" s="692">
        <f t="shared" si="10"/>
        <v>1754</v>
      </c>
      <c r="H44" s="692">
        <f t="shared" si="10"/>
        <v>1711</v>
      </c>
      <c r="I44" s="692">
        <f t="shared" si="10"/>
        <v>1668</v>
      </c>
      <c r="J44" s="692">
        <f t="shared" si="10"/>
        <v>1624</v>
      </c>
      <c r="K44" s="692">
        <f t="shared" si="10"/>
        <v>1581</v>
      </c>
    </row>
    <row r="45" spans="1:11" ht="12.75">
      <c r="A45" s="684"/>
      <c r="B45" s="693" t="s">
        <v>381</v>
      </c>
      <c r="C45" s="679">
        <v>2217</v>
      </c>
      <c r="D45" s="679">
        <v>1885</v>
      </c>
      <c r="E45" s="679">
        <f>1440+OPR!K61</f>
        <v>1841</v>
      </c>
      <c r="F45" s="679">
        <f>1440+OPR!L61</f>
        <v>1798</v>
      </c>
      <c r="G45" s="679">
        <f>1440+OPR!M61</f>
        <v>1754</v>
      </c>
      <c r="H45" s="679">
        <f>1440+OPR!N61</f>
        <v>1711</v>
      </c>
      <c r="I45" s="679">
        <f>1440+OPR!O61</f>
        <v>1668</v>
      </c>
      <c r="J45" s="679">
        <f>1440+OPR!P61</f>
        <v>1624</v>
      </c>
      <c r="K45" s="679">
        <f>1440+OPR!Q61</f>
        <v>1581</v>
      </c>
    </row>
    <row r="46" spans="1:11" ht="12.75">
      <c r="A46" s="684"/>
      <c r="B46" s="691" t="s">
        <v>359</v>
      </c>
      <c r="C46" s="692">
        <f>SUM(C47:C50)</f>
        <v>76510</v>
      </c>
      <c r="D46" s="692">
        <f>SUM(D47:D50)</f>
        <v>52803</v>
      </c>
      <c r="E46" s="692">
        <f aca="true" t="shared" si="11" ref="E46:K46">SUM(E47:E50)</f>
        <v>21700</v>
      </c>
      <c r="F46" s="692">
        <f t="shared" si="11"/>
        <v>14400</v>
      </c>
      <c r="G46" s="692">
        <f t="shared" si="11"/>
        <v>19100</v>
      </c>
      <c r="H46" s="692">
        <f t="shared" si="11"/>
        <v>13700</v>
      </c>
      <c r="I46" s="692">
        <f t="shared" si="11"/>
        <v>25500</v>
      </c>
      <c r="J46" s="692">
        <f t="shared" si="11"/>
        <v>18200</v>
      </c>
      <c r="K46" s="692">
        <f t="shared" si="11"/>
        <v>57601</v>
      </c>
    </row>
    <row r="47" spans="1:11" ht="12.75">
      <c r="A47" s="684"/>
      <c r="B47" s="691" t="s">
        <v>382</v>
      </c>
      <c r="C47" s="85">
        <f>1339+156+313+136+1946+715</f>
        <v>4605</v>
      </c>
      <c r="D47" s="85">
        <v>3245</v>
      </c>
      <c r="E47" s="85">
        <f>OPR!K62-300</f>
        <v>2700</v>
      </c>
      <c r="F47" s="85">
        <f>OPR!L62-300</f>
        <v>2400</v>
      </c>
      <c r="G47" s="85">
        <f>OPR!M62-300</f>
        <v>2100</v>
      </c>
      <c r="H47" s="85">
        <f>OPR!N62-300</f>
        <v>1700</v>
      </c>
      <c r="I47" s="85">
        <f>OPR!O62-300</f>
        <v>1500</v>
      </c>
      <c r="J47" s="85">
        <f>OPR!P62-300</f>
        <v>1200</v>
      </c>
      <c r="K47" s="85">
        <f>OPR!Q62-300</f>
        <v>1000</v>
      </c>
    </row>
    <row r="48" spans="2:14" ht="12.75">
      <c r="B48" s="691" t="s">
        <v>383</v>
      </c>
      <c r="C48" s="85">
        <f>414+9562+18718+4401</f>
        <v>33095</v>
      </c>
      <c r="D48" s="85">
        <v>47012</v>
      </c>
      <c r="E48" s="409">
        <v>19000</v>
      </c>
      <c r="F48" s="409">
        <v>12000</v>
      </c>
      <c r="G48" s="409">
        <v>17000</v>
      </c>
      <c r="H48" s="409">
        <v>12000</v>
      </c>
      <c r="I48" s="409">
        <v>24000</v>
      </c>
      <c r="J48" s="409">
        <v>17000</v>
      </c>
      <c r="K48" s="409">
        <v>56601</v>
      </c>
      <c r="L48" s="695">
        <f>+SUM(E48:K48)</f>
        <v>157601</v>
      </c>
      <c r="N48" s="695">
        <f>91952+112661</f>
        <v>204613</v>
      </c>
    </row>
    <row r="49" spans="2:14" ht="12.75">
      <c r="B49" s="691" t="s">
        <v>384</v>
      </c>
      <c r="C49" s="630">
        <v>36810</v>
      </c>
      <c r="D49" s="630">
        <v>2546</v>
      </c>
      <c r="E49" s="695"/>
      <c r="F49" s="695"/>
      <c r="G49" s="695"/>
      <c r="H49" s="695"/>
      <c r="I49" s="695"/>
      <c r="J49" s="695"/>
      <c r="K49" s="695"/>
      <c r="N49" s="695">
        <f>+N48-47012</f>
        <v>157601</v>
      </c>
    </row>
    <row r="50" spans="2:11" ht="13.5" hidden="1" outlineLevel="1">
      <c r="B50" s="691" t="s">
        <v>381</v>
      </c>
      <c r="C50" s="630">
        <v>2000</v>
      </c>
      <c r="D50" s="630">
        <v>0</v>
      </c>
      <c r="E50" s="630"/>
      <c r="F50" s="630"/>
      <c r="G50" s="630"/>
      <c r="H50" s="630"/>
      <c r="I50" s="630"/>
      <c r="J50" s="630"/>
      <c r="K50" s="630"/>
    </row>
    <row r="51" spans="2:11" ht="12.75" collapsed="1">
      <c r="B51" s="701" t="s">
        <v>385</v>
      </c>
      <c r="C51" s="702">
        <f>C44-C46</f>
        <v>-74293</v>
      </c>
      <c r="D51" s="702">
        <f>D44-D46</f>
        <v>-50918</v>
      </c>
      <c r="E51" s="702">
        <f aca="true" t="shared" si="12" ref="E51:K51">E44-E46</f>
        <v>-19859</v>
      </c>
      <c r="F51" s="702">
        <f t="shared" si="12"/>
        <v>-12602</v>
      </c>
      <c r="G51" s="702">
        <f t="shared" si="12"/>
        <v>-17346</v>
      </c>
      <c r="H51" s="702">
        <f t="shared" si="12"/>
        <v>-11989</v>
      </c>
      <c r="I51" s="702">
        <f t="shared" si="12"/>
        <v>-23832</v>
      </c>
      <c r="J51" s="702">
        <f t="shared" si="12"/>
        <v>-16576</v>
      </c>
      <c r="K51" s="702">
        <f t="shared" si="12"/>
        <v>-56020</v>
      </c>
    </row>
    <row r="52" spans="2:11" ht="12.75">
      <c r="B52" s="15" t="s">
        <v>386</v>
      </c>
      <c r="C52" s="692">
        <f>C31+C42+C51</f>
        <v>-206460</v>
      </c>
      <c r="D52" s="692">
        <f>D31+D42+D51</f>
        <v>-211933</v>
      </c>
      <c r="E52" s="692">
        <f aca="true" t="shared" si="13" ref="E52:K52">E31+E42+E51</f>
        <v>-241437</v>
      </c>
      <c r="F52" s="692">
        <f t="shared" si="13"/>
        <v>-238750</v>
      </c>
      <c r="G52" s="692">
        <f t="shared" si="13"/>
        <v>-242279</v>
      </c>
      <c r="H52" s="692">
        <f t="shared" si="13"/>
        <v>-239553</v>
      </c>
      <c r="I52" s="692">
        <f t="shared" si="13"/>
        <v>-239284</v>
      </c>
      <c r="J52" s="692">
        <f t="shared" si="13"/>
        <v>-229375</v>
      </c>
      <c r="K52" s="692">
        <f t="shared" si="13"/>
        <v>-247345</v>
      </c>
    </row>
    <row r="53" spans="2:11" ht="17.25" customHeight="1">
      <c r="B53" s="703" t="s">
        <v>387</v>
      </c>
      <c r="C53" s="704">
        <f>SUM(C54:C55)</f>
        <v>201331</v>
      </c>
      <c r="D53" s="704">
        <v>210000</v>
      </c>
      <c r="E53" s="704">
        <f aca="true" t="shared" si="14" ref="E53:K53">SUM(E54:E55)</f>
        <v>239942</v>
      </c>
      <c r="F53" s="704">
        <f t="shared" si="14"/>
        <v>241426</v>
      </c>
      <c r="G53" s="704">
        <f t="shared" si="14"/>
        <v>244718</v>
      </c>
      <c r="H53" s="704">
        <f t="shared" si="14"/>
        <v>244733</v>
      </c>
      <c r="I53" s="704">
        <f t="shared" si="14"/>
        <v>244444</v>
      </c>
      <c r="J53" s="704">
        <f t="shared" si="14"/>
        <v>234855</v>
      </c>
      <c r="K53" s="704">
        <f t="shared" si="14"/>
        <v>238806</v>
      </c>
    </row>
    <row r="54" spans="2:12" ht="14.25" customHeight="1">
      <c r="B54" s="705" t="s">
        <v>388</v>
      </c>
      <c r="C54" s="706">
        <f>OPR!I20</f>
        <v>171331</v>
      </c>
      <c r="D54" s="706">
        <v>180000</v>
      </c>
      <c r="E54" s="706">
        <f>OPR!K20</f>
        <v>176942</v>
      </c>
      <c r="F54" s="706">
        <f>OPR!L20</f>
        <v>178426</v>
      </c>
      <c r="G54" s="706">
        <f>OPR!M20</f>
        <v>181718</v>
      </c>
      <c r="H54" s="706">
        <f>OPR!N20</f>
        <v>181733</v>
      </c>
      <c r="I54" s="706">
        <f>OPR!O20</f>
        <v>181444</v>
      </c>
      <c r="J54" s="706">
        <f>OPR!P20</f>
        <v>177855</v>
      </c>
      <c r="K54" s="706">
        <f>OPR!Q20</f>
        <v>180806</v>
      </c>
      <c r="L54" s="695">
        <f>+SUM(E54:K54)</f>
        <v>1258924</v>
      </c>
    </row>
    <row r="55" spans="2:12" ht="15.75" customHeight="1">
      <c r="B55" s="705" t="s">
        <v>389</v>
      </c>
      <c r="C55" s="706">
        <v>30000</v>
      </c>
      <c r="D55" s="706">
        <v>30000</v>
      </c>
      <c r="E55" s="706">
        <f>57000+6000</f>
        <v>63000</v>
      </c>
      <c r="F55" s="706">
        <f>57000+6000</f>
        <v>63000</v>
      </c>
      <c r="G55" s="706">
        <f>57000+6000</f>
        <v>63000</v>
      </c>
      <c r="H55" s="706">
        <f>57000+6000</f>
        <v>63000</v>
      </c>
      <c r="I55" s="706">
        <f>57000+6000</f>
        <v>63000</v>
      </c>
      <c r="J55" s="706">
        <v>57000</v>
      </c>
      <c r="K55" s="706">
        <v>58000</v>
      </c>
      <c r="L55" s="695">
        <f>+SUM(E55:K55)</f>
        <v>430000</v>
      </c>
    </row>
    <row r="56" spans="1:11" ht="15.75" customHeight="1">
      <c r="A56" s="92"/>
      <c r="B56" s="15" t="s">
        <v>390</v>
      </c>
      <c r="C56" s="332">
        <f>C52+C53</f>
        <v>-5129</v>
      </c>
      <c r="D56" s="332">
        <f>D52+D53</f>
        <v>-1933</v>
      </c>
      <c r="E56" s="332">
        <f aca="true" t="shared" si="15" ref="E56:K56">E52+E53</f>
        <v>-1495</v>
      </c>
      <c r="F56" s="332">
        <f t="shared" si="15"/>
        <v>2676</v>
      </c>
      <c r="G56" s="332">
        <f t="shared" si="15"/>
        <v>2439</v>
      </c>
      <c r="H56" s="332">
        <f t="shared" si="15"/>
        <v>5180</v>
      </c>
      <c r="I56" s="332">
        <f t="shared" si="15"/>
        <v>5160</v>
      </c>
      <c r="J56" s="332">
        <f t="shared" si="15"/>
        <v>5480</v>
      </c>
      <c r="K56" s="332">
        <f t="shared" si="15"/>
        <v>-8539</v>
      </c>
    </row>
    <row r="57" spans="2:11" ht="12.75">
      <c r="B57" s="707" t="s">
        <v>391</v>
      </c>
      <c r="C57" s="692"/>
      <c r="D57" s="692">
        <v>500</v>
      </c>
      <c r="E57" s="692">
        <v>500</v>
      </c>
      <c r="F57" s="692">
        <v>500</v>
      </c>
      <c r="G57" s="692">
        <v>500</v>
      </c>
      <c r="H57" s="692">
        <v>500</v>
      </c>
      <c r="I57" s="692">
        <v>500</v>
      </c>
      <c r="J57" s="692">
        <v>500</v>
      </c>
      <c r="K57" s="692">
        <v>500</v>
      </c>
    </row>
    <row r="58" spans="2:11" ht="15.75" customHeight="1" thickBot="1">
      <c r="B58" s="708" t="s">
        <v>392</v>
      </c>
      <c r="C58" s="709">
        <f>C4+C56-C57</f>
        <v>6462</v>
      </c>
      <c r="D58" s="709">
        <f>D4+D56-D57</f>
        <v>4029</v>
      </c>
      <c r="E58" s="709">
        <f aca="true" t="shared" si="16" ref="E58:K58">E4+E56-E57</f>
        <v>2534</v>
      </c>
      <c r="F58" s="709">
        <f t="shared" si="16"/>
        <v>5210</v>
      </c>
      <c r="G58" s="709">
        <f t="shared" si="16"/>
        <v>7649</v>
      </c>
      <c r="H58" s="709">
        <f t="shared" si="16"/>
        <v>12829</v>
      </c>
      <c r="I58" s="709">
        <f t="shared" si="16"/>
        <v>17989</v>
      </c>
      <c r="J58" s="709">
        <f t="shared" si="16"/>
        <v>23469</v>
      </c>
      <c r="K58" s="709">
        <f t="shared" si="16"/>
        <v>14930</v>
      </c>
    </row>
    <row r="59" spans="4:13" ht="15.75" customHeight="1" outlineLevel="1">
      <c r="D59" s="64" t="e">
        <f>'[1]balans'!D72-'[1]par_potok'!$C65-'[1]par_potok'!C66</f>
        <v>#REF!</v>
      </c>
      <c r="E59" s="64" t="e">
        <f>'[1]balans'!E72-'[1]par_potok'!$C65-'[1]par_potok'!D66</f>
        <v>#REF!</v>
      </c>
      <c r="F59" s="64" t="e">
        <f>'[1]balans'!F72-'[1]par_potok'!$C65-'[1]par_potok'!E66</f>
        <v>#REF!</v>
      </c>
      <c r="G59" s="64" t="e">
        <f>'[1]balans'!G72-'[1]par_potok'!$C65-'[1]par_potok'!F66</f>
        <v>#REF!</v>
      </c>
      <c r="H59" s="64" t="e">
        <f>'[1]balans'!H72-'[1]par_potok'!$C65-'[1]par_potok'!G66</f>
        <v>#REF!</v>
      </c>
      <c r="I59" s="64" t="e">
        <f>'[1]balans'!I72-'[1]par_potok'!$C65-'[1]par_potok'!H66</f>
        <v>#REF!</v>
      </c>
      <c r="J59" s="64" t="e">
        <f>'[1]balans'!J72-'[1]par_potok'!$C65-'[1]par_potok'!I66</f>
        <v>#REF!</v>
      </c>
      <c r="K59" s="64" t="e">
        <f>'[1]balans'!K72-'[1]par_potok'!$C65-'[1]par_potok'!J66</f>
        <v>#REF!</v>
      </c>
      <c r="L59" s="64"/>
      <c r="M59" s="64"/>
    </row>
    <row r="60" spans="2:11" ht="15.75" customHeight="1">
      <c r="B60" s="693"/>
      <c r="C60" s="693"/>
      <c r="D60" s="64"/>
      <c r="E60" s="64"/>
      <c r="F60" s="64"/>
      <c r="G60" s="64"/>
      <c r="H60" s="64"/>
      <c r="I60" s="64"/>
      <c r="J60" s="64"/>
      <c r="K60" s="64"/>
    </row>
    <row r="61" spans="2:3" ht="13.5" hidden="1" outlineLevel="1">
      <c r="B61" s="684" t="s">
        <v>393</v>
      </c>
      <c r="C61" s="684"/>
    </row>
    <row r="62" spans="2:3" ht="13.5" hidden="1" outlineLevel="1" collapsed="1">
      <c r="B62" s="684" t="s">
        <v>394</v>
      </c>
      <c r="C62" s="684"/>
    </row>
    <row r="63" spans="2:3" ht="13.5" hidden="1" outlineLevel="1">
      <c r="B63" s="193" t="s">
        <v>395</v>
      </c>
      <c r="C63" s="193"/>
    </row>
    <row r="64" spans="2:11" ht="12.75" collapsed="1">
      <c r="B64" s="710" t="s">
        <v>595</v>
      </c>
      <c r="E64" s="64"/>
      <c r="F64" s="64"/>
      <c r="G64" s="64"/>
      <c r="H64" s="64"/>
      <c r="I64" s="64"/>
      <c r="J64" s="64"/>
      <c r="K64" s="64"/>
    </row>
    <row r="65" spans="2:11" ht="12.75">
      <c r="B65" s="711"/>
      <c r="C65" s="711"/>
      <c r="E65" s="64"/>
      <c r="F65" s="64"/>
      <c r="G65" s="64"/>
      <c r="H65" s="64"/>
      <c r="I65" s="64"/>
      <c r="J65" s="64"/>
      <c r="K65" s="64"/>
    </row>
    <row r="66" spans="2:6" ht="12.75" outlineLevel="1">
      <c r="B66" s="712" t="s">
        <v>396</v>
      </c>
      <c r="C66" s="712"/>
      <c r="D66" s="193"/>
      <c r="E66" s="193"/>
      <c r="F66" s="193"/>
    </row>
    <row r="67" spans="12:13" ht="12.75" outlineLevel="1">
      <c r="L67" s="685"/>
      <c r="M67" s="685"/>
    </row>
    <row r="68" spans="2:12" ht="12.75" outlineLevel="1">
      <c r="B68" s="713"/>
      <c r="C68" s="713"/>
      <c r="D68" s="578">
        <v>2015</v>
      </c>
      <c r="E68" s="578">
        <v>2016</v>
      </c>
      <c r="F68" s="578">
        <v>2017</v>
      </c>
      <c r="G68" s="578">
        <v>2018</v>
      </c>
      <c r="H68" s="578">
        <v>2019</v>
      </c>
      <c r="I68" s="578">
        <v>2020</v>
      </c>
      <c r="J68" s="578">
        <v>2021</v>
      </c>
      <c r="K68" s="578">
        <v>2022</v>
      </c>
      <c r="L68" s="578"/>
    </row>
    <row r="69" spans="2:12" s="92" customFormat="1" ht="12.75" outlineLevel="1">
      <c r="B69" s="194" t="s">
        <v>605</v>
      </c>
      <c r="C69" s="194"/>
      <c r="D69" s="195">
        <v>1560</v>
      </c>
      <c r="E69" s="410"/>
      <c r="F69" s="195"/>
      <c r="G69" s="195"/>
      <c r="H69" s="195"/>
      <c r="I69" s="195"/>
      <c r="J69" s="195"/>
      <c r="K69" s="195"/>
      <c r="L69" s="630">
        <f aca="true" t="shared" si="17" ref="L69:L75">+SUM(E69:K69)</f>
        <v>0</v>
      </c>
    </row>
    <row r="70" spans="2:12" s="92" customFormat="1" ht="12.75" outlineLevel="1">
      <c r="B70" s="462" t="s">
        <v>614</v>
      </c>
      <c r="C70" s="194"/>
      <c r="D70" s="195">
        <v>400</v>
      </c>
      <c r="E70" s="410">
        <v>400</v>
      </c>
      <c r="F70" s="195"/>
      <c r="G70" s="195"/>
      <c r="H70" s="195"/>
      <c r="I70" s="195"/>
      <c r="J70" s="195"/>
      <c r="K70" s="195"/>
      <c r="L70" s="630">
        <f t="shared" si="17"/>
        <v>400</v>
      </c>
    </row>
    <row r="71" spans="2:12" s="92" customFormat="1" ht="12.75" outlineLevel="1">
      <c r="B71" s="194" t="s">
        <v>623</v>
      </c>
      <c r="C71" s="327"/>
      <c r="D71" s="195"/>
      <c r="E71" s="410">
        <f>500+1000</f>
        <v>1500</v>
      </c>
      <c r="F71" s="410">
        <v>500</v>
      </c>
      <c r="G71" s="195"/>
      <c r="H71" s="195"/>
      <c r="I71" s="195"/>
      <c r="J71" s="195"/>
      <c r="K71" s="195"/>
      <c r="L71" s="630">
        <f t="shared" si="17"/>
        <v>2000</v>
      </c>
    </row>
    <row r="72" spans="2:12" s="92" customFormat="1" ht="12.75" outlineLevel="1">
      <c r="B72" s="194" t="s">
        <v>609</v>
      </c>
      <c r="C72" s="327"/>
      <c r="D72" s="195"/>
      <c r="E72" s="410"/>
      <c r="F72" s="410">
        <v>100</v>
      </c>
      <c r="G72" s="195"/>
      <c r="H72" s="195"/>
      <c r="I72" s="195"/>
      <c r="J72" s="195"/>
      <c r="K72" s="195"/>
      <c r="L72" s="630">
        <f t="shared" si="17"/>
        <v>100</v>
      </c>
    </row>
    <row r="73" spans="2:12" s="92" customFormat="1" ht="12.75" outlineLevel="1">
      <c r="B73" s="194" t="s">
        <v>538</v>
      </c>
      <c r="C73" s="327"/>
      <c r="D73" s="195"/>
      <c r="E73" s="410">
        <v>300</v>
      </c>
      <c r="F73" s="410">
        <v>300</v>
      </c>
      <c r="G73" s="410">
        <v>300</v>
      </c>
      <c r="H73" s="410">
        <v>300</v>
      </c>
      <c r="I73" s="195"/>
      <c r="J73" s="195"/>
      <c r="K73" s="195"/>
      <c r="L73" s="630">
        <f t="shared" si="17"/>
        <v>1200</v>
      </c>
    </row>
    <row r="74" spans="2:12" s="92" customFormat="1" ht="12.75" outlineLevel="1">
      <c r="B74" s="194" t="s">
        <v>565</v>
      </c>
      <c r="C74" s="327"/>
      <c r="D74" s="195"/>
      <c r="E74" s="410">
        <v>2500</v>
      </c>
      <c r="F74" s="410">
        <v>2500</v>
      </c>
      <c r="G74" s="410">
        <v>2500</v>
      </c>
      <c r="H74" s="410">
        <v>2500</v>
      </c>
      <c r="I74" s="195"/>
      <c r="J74" s="195"/>
      <c r="K74" s="195"/>
      <c r="L74" s="630">
        <f t="shared" si="17"/>
        <v>10000</v>
      </c>
    </row>
    <row r="75" spans="2:12" s="92" customFormat="1" ht="12.75" outlineLevel="1">
      <c r="B75" s="194" t="s">
        <v>601</v>
      </c>
      <c r="C75" s="327"/>
      <c r="D75" s="195"/>
      <c r="E75" s="410">
        <v>1500</v>
      </c>
      <c r="F75" s="410">
        <v>1500</v>
      </c>
      <c r="G75" s="410">
        <v>1500</v>
      </c>
      <c r="H75" s="410">
        <v>1500</v>
      </c>
      <c r="I75" s="410"/>
      <c r="J75" s="195"/>
      <c r="K75" s="195"/>
      <c r="L75" s="630">
        <f t="shared" si="17"/>
        <v>6000</v>
      </c>
    </row>
    <row r="76" spans="2:12" ht="12.75" outlineLevel="1">
      <c r="B76" s="328" t="s">
        <v>606</v>
      </c>
      <c r="C76" s="328"/>
      <c r="D76" s="195"/>
      <c r="E76" s="410">
        <v>300</v>
      </c>
      <c r="F76" s="410">
        <v>300</v>
      </c>
      <c r="G76" s="410">
        <v>100</v>
      </c>
      <c r="H76" s="410">
        <v>100</v>
      </c>
      <c r="I76" s="410">
        <v>100</v>
      </c>
      <c r="J76" s="410">
        <v>100</v>
      </c>
      <c r="K76" s="196"/>
      <c r="L76" s="630">
        <f>+SUM(E76:K76)</f>
        <v>1000</v>
      </c>
    </row>
    <row r="77" spans="2:12" s="92" customFormat="1" ht="12.75" outlineLevel="1">
      <c r="B77" s="194" t="s">
        <v>564</v>
      </c>
      <c r="C77" s="327"/>
      <c r="D77" s="195"/>
      <c r="E77" s="410">
        <v>1000</v>
      </c>
      <c r="F77" s="410">
        <v>1000</v>
      </c>
      <c r="G77" s="410">
        <v>1000</v>
      </c>
      <c r="H77" s="410">
        <v>500</v>
      </c>
      <c r="I77" s="410">
        <v>500</v>
      </c>
      <c r="J77" s="410">
        <v>500</v>
      </c>
      <c r="K77" s="410">
        <v>500</v>
      </c>
      <c r="L77" s="630">
        <f aca="true" t="shared" si="18" ref="L77:L84">+SUM(E77:K77)</f>
        <v>5000</v>
      </c>
    </row>
    <row r="78" spans="2:12" s="92" customFormat="1" ht="12.75" outlineLevel="1">
      <c r="B78" s="194" t="s">
        <v>619</v>
      </c>
      <c r="C78" s="327"/>
      <c r="D78" s="195"/>
      <c r="E78" s="410"/>
      <c r="F78" s="410">
        <v>3000</v>
      </c>
      <c r="G78" s="410"/>
      <c r="H78" s="410">
        <v>3000</v>
      </c>
      <c r="I78" s="410"/>
      <c r="J78" s="410">
        <v>6000</v>
      </c>
      <c r="K78" s="410"/>
      <c r="L78" s="630">
        <f t="shared" si="18"/>
        <v>12000</v>
      </c>
    </row>
    <row r="79" spans="2:12" s="92" customFormat="1" ht="12.75" outlineLevel="1">
      <c r="B79" s="194" t="s">
        <v>566</v>
      </c>
      <c r="C79" s="194"/>
      <c r="D79" s="195">
        <v>500</v>
      </c>
      <c r="E79" s="410">
        <v>1000</v>
      </c>
      <c r="F79" s="195"/>
      <c r="G79" s="195"/>
      <c r="H79" s="195"/>
      <c r="I79" s="195"/>
      <c r="J79" s="195"/>
      <c r="K79" s="195"/>
      <c r="L79" s="630">
        <f t="shared" si="18"/>
        <v>1000</v>
      </c>
    </row>
    <row r="80" spans="2:12" ht="12.75" outlineLevel="1">
      <c r="B80" s="328" t="s">
        <v>602</v>
      </c>
      <c r="C80" s="328"/>
      <c r="D80" s="195"/>
      <c r="E80" s="410">
        <v>2500</v>
      </c>
      <c r="F80" s="410">
        <v>2500</v>
      </c>
      <c r="G80" s="195"/>
      <c r="H80" s="196"/>
      <c r="I80" s="196"/>
      <c r="J80" s="196"/>
      <c r="K80" s="196"/>
      <c r="L80" s="630">
        <f t="shared" si="18"/>
        <v>5000</v>
      </c>
    </row>
    <row r="81" spans="2:12" ht="12.75" outlineLevel="1">
      <c r="B81" s="328" t="s">
        <v>603</v>
      </c>
      <c r="C81" s="328"/>
      <c r="D81" s="195"/>
      <c r="E81" s="410">
        <v>3500</v>
      </c>
      <c r="F81" s="410">
        <v>3500</v>
      </c>
      <c r="G81" s="195"/>
      <c r="H81" s="196"/>
      <c r="I81" s="196"/>
      <c r="J81" s="196"/>
      <c r="K81" s="196"/>
      <c r="L81" s="630">
        <f t="shared" si="18"/>
        <v>7000</v>
      </c>
    </row>
    <row r="82" spans="2:12" ht="12.75" outlineLevel="1">
      <c r="B82" s="328" t="s">
        <v>604</v>
      </c>
      <c r="C82" s="328"/>
      <c r="D82" s="195"/>
      <c r="E82" s="410">
        <v>2500</v>
      </c>
      <c r="F82" s="410">
        <v>2500</v>
      </c>
      <c r="G82" s="410">
        <v>10000</v>
      </c>
      <c r="H82" s="410">
        <v>15000</v>
      </c>
      <c r="I82" s="410">
        <v>15000</v>
      </c>
      <c r="J82" s="410">
        <v>15000</v>
      </c>
      <c r="K82" s="196"/>
      <c r="L82" s="630">
        <f t="shared" si="18"/>
        <v>60000</v>
      </c>
    </row>
    <row r="83" spans="2:12" ht="12.75" outlineLevel="1">
      <c r="B83" s="328" t="s">
        <v>607</v>
      </c>
      <c r="C83" s="328"/>
      <c r="D83" s="195"/>
      <c r="E83" s="410">
        <f>10*44</f>
        <v>440</v>
      </c>
      <c r="F83" s="410">
        <f>10*44</f>
        <v>440</v>
      </c>
      <c r="G83" s="410">
        <f>10*44</f>
        <v>440</v>
      </c>
      <c r="H83" s="410">
        <f>10*44</f>
        <v>440</v>
      </c>
      <c r="I83" s="410">
        <f>10*44</f>
        <v>440</v>
      </c>
      <c r="J83" s="196"/>
      <c r="K83" s="196"/>
      <c r="L83" s="630">
        <f t="shared" si="18"/>
        <v>2200</v>
      </c>
    </row>
    <row r="84" spans="2:12" ht="12.75" outlineLevel="1">
      <c r="B84" s="328" t="s">
        <v>608</v>
      </c>
      <c r="C84" s="328"/>
      <c r="D84" s="195"/>
      <c r="E84" s="195"/>
      <c r="F84" s="195"/>
      <c r="G84" s="410">
        <f>3*500</f>
        <v>1500</v>
      </c>
      <c r="H84" s="410">
        <f>3*500</f>
        <v>1500</v>
      </c>
      <c r="I84" s="410">
        <f>4*500</f>
        <v>2000</v>
      </c>
      <c r="J84" s="196"/>
      <c r="K84" s="196"/>
      <c r="L84" s="630">
        <f t="shared" si="18"/>
        <v>5000</v>
      </c>
    </row>
    <row r="85" spans="2:11" ht="13.5" outlineLevel="1" thickBot="1">
      <c r="B85" s="197" t="s">
        <v>320</v>
      </c>
      <c r="C85" s="197"/>
      <c r="D85" s="198">
        <f aca="true" t="shared" si="19" ref="D85:K85">SUM(D69:D84)</f>
        <v>2460</v>
      </c>
      <c r="E85" s="198">
        <f t="shared" si="19"/>
        <v>17440</v>
      </c>
      <c r="F85" s="198">
        <f t="shared" si="19"/>
        <v>18140</v>
      </c>
      <c r="G85" s="198">
        <f t="shared" si="19"/>
        <v>17340</v>
      </c>
      <c r="H85" s="198">
        <f t="shared" si="19"/>
        <v>24840</v>
      </c>
      <c r="I85" s="198">
        <f t="shared" si="19"/>
        <v>18040</v>
      </c>
      <c r="J85" s="198">
        <f t="shared" si="19"/>
        <v>21600</v>
      </c>
      <c r="K85" s="198">
        <f t="shared" si="19"/>
        <v>500</v>
      </c>
    </row>
    <row r="86" spans="4:11" ht="12" customHeight="1" outlineLevel="1" thickTop="1">
      <c r="D86" s="41"/>
      <c r="E86" s="41"/>
      <c r="F86" s="41"/>
      <c r="G86" s="41"/>
      <c r="H86" s="41"/>
      <c r="I86" s="41"/>
      <c r="J86" s="41"/>
      <c r="K86" s="41"/>
    </row>
    <row r="87" spans="2:12" ht="12.75" outlineLevel="1">
      <c r="B87" s="329" t="s">
        <v>377</v>
      </c>
      <c r="C87" s="329"/>
      <c r="D87" s="196"/>
      <c r="E87" s="195">
        <v>2291</v>
      </c>
      <c r="F87" s="195">
        <v>2291</v>
      </c>
      <c r="G87" s="195">
        <v>2291</v>
      </c>
      <c r="H87" s="195">
        <v>2291</v>
      </c>
      <c r="I87" s="195">
        <v>2291</v>
      </c>
      <c r="J87" s="195">
        <v>2291</v>
      </c>
      <c r="K87" s="195">
        <v>2292</v>
      </c>
      <c r="L87" s="630">
        <f>+SUM(E87:K87)</f>
        <v>16038</v>
      </c>
    </row>
    <row r="88" spans="2:12" ht="12.75" outlineLevel="1">
      <c r="B88" s="329" t="s">
        <v>378</v>
      </c>
      <c r="C88" s="329"/>
      <c r="D88" s="196"/>
      <c r="E88" s="195">
        <v>2566</v>
      </c>
      <c r="F88" s="195">
        <v>2566</v>
      </c>
      <c r="G88" s="195">
        <v>2566</v>
      </c>
      <c r="H88" s="195">
        <v>2566</v>
      </c>
      <c r="I88" s="195">
        <v>2566</v>
      </c>
      <c r="J88" s="195">
        <v>2566</v>
      </c>
      <c r="K88" s="195">
        <v>2566</v>
      </c>
      <c r="L88" s="630">
        <f>+SUM(E88:K88)</f>
        <v>17962</v>
      </c>
    </row>
    <row r="89" spans="2:12" ht="13.5" outlineLevel="1" thickBot="1">
      <c r="B89" s="199" t="s">
        <v>320</v>
      </c>
      <c r="C89" s="199"/>
      <c r="D89" s="198"/>
      <c r="E89" s="198">
        <f aca="true" t="shared" si="20" ref="E89:K89">SUM(E87:E88)</f>
        <v>4857</v>
      </c>
      <c r="F89" s="198">
        <f t="shared" si="20"/>
        <v>4857</v>
      </c>
      <c r="G89" s="198">
        <f t="shared" si="20"/>
        <v>4857</v>
      </c>
      <c r="H89" s="198">
        <f t="shared" si="20"/>
        <v>4857</v>
      </c>
      <c r="I89" s="198">
        <f t="shared" si="20"/>
        <v>4857</v>
      </c>
      <c r="J89" s="198">
        <f t="shared" si="20"/>
        <v>4857</v>
      </c>
      <c r="K89" s="198">
        <f t="shared" si="20"/>
        <v>4858</v>
      </c>
      <c r="L89" s="714"/>
    </row>
    <row r="90" spans="2:12" ht="13.5" outlineLevel="1" thickTop="1">
      <c r="B90" s="200"/>
      <c r="C90" s="200"/>
      <c r="D90" s="201"/>
      <c r="E90" s="201"/>
      <c r="F90" s="201"/>
      <c r="G90" s="201"/>
      <c r="H90" s="201"/>
      <c r="I90" s="201"/>
      <c r="J90" s="201"/>
      <c r="K90" s="201"/>
      <c r="L90" s="714"/>
    </row>
    <row r="91" spans="2:13" ht="12.75" outlineLevel="1">
      <c r="B91" s="200"/>
      <c r="C91" s="200"/>
      <c r="D91" s="201"/>
      <c r="E91" s="201"/>
      <c r="F91" s="201"/>
      <c r="G91" s="201"/>
      <c r="H91" s="201"/>
      <c r="I91" s="201"/>
      <c r="J91" s="201"/>
      <c r="K91" s="201"/>
      <c r="L91" s="714"/>
      <c r="M91" s="714"/>
    </row>
    <row r="92" spans="2:12" ht="12.75">
      <c r="B92" s="584" t="s">
        <v>542</v>
      </c>
      <c r="C92" s="584"/>
      <c r="D92" s="715">
        <v>2015</v>
      </c>
      <c r="E92" s="715">
        <v>2016</v>
      </c>
      <c r="F92" s="715">
        <v>2017</v>
      </c>
      <c r="G92" s="715">
        <v>2018</v>
      </c>
      <c r="H92" s="715">
        <v>2019</v>
      </c>
      <c r="I92" s="715">
        <v>2020</v>
      </c>
      <c r="J92" s="715">
        <v>2021</v>
      </c>
      <c r="K92" s="715">
        <v>2022</v>
      </c>
      <c r="L92" s="715" t="s">
        <v>4</v>
      </c>
    </row>
    <row r="93" spans="2:12" ht="12.75">
      <c r="B93" s="18" t="s">
        <v>432</v>
      </c>
      <c r="H93" s="41">
        <v>150000</v>
      </c>
      <c r="I93" s="41">
        <v>90000</v>
      </c>
      <c r="J93" s="41">
        <v>80000</v>
      </c>
      <c r="K93" s="41">
        <v>80000</v>
      </c>
      <c r="L93" s="41">
        <f aca="true" t="shared" si="21" ref="L93:L98">SUM(D93:K93)</f>
        <v>400000</v>
      </c>
    </row>
    <row r="94" spans="2:12" ht="12.75">
      <c r="B94" s="18" t="s">
        <v>434</v>
      </c>
      <c r="H94" s="41">
        <v>15000</v>
      </c>
      <c r="I94" s="41">
        <v>15000</v>
      </c>
      <c r="J94" s="41"/>
      <c r="K94" s="41"/>
      <c r="L94" s="41">
        <f t="shared" si="21"/>
        <v>30000</v>
      </c>
    </row>
    <row r="95" spans="2:12" ht="12.75">
      <c r="B95" s="18" t="s">
        <v>543</v>
      </c>
      <c r="D95" s="41">
        <f>remont!D36+2730</f>
        <v>9138</v>
      </c>
      <c r="E95" s="41">
        <f>remont!E36+SUM(E79:E84)</f>
        <v>15343</v>
      </c>
      <c r="F95" s="41">
        <f>remont!F36+SUM(F79:F84)</f>
        <v>14329</v>
      </c>
      <c r="G95" s="41">
        <f>remont!G36+SUM(G79:G84)</f>
        <v>17615</v>
      </c>
      <c r="H95" s="41">
        <f>remont!H36+SUM(H79:H84)</f>
        <v>21571</v>
      </c>
      <c r="I95" s="41">
        <f>remont!I36+SUM(I79:I84)</f>
        <v>22001</v>
      </c>
      <c r="J95" s="41">
        <f>remont!J36+SUM(J79:J84)</f>
        <v>20139</v>
      </c>
      <c r="K95" s="41">
        <f>remont!K36+SUM(K79:K84)</f>
        <v>5095</v>
      </c>
      <c r="L95" s="41">
        <f t="shared" si="21"/>
        <v>125231</v>
      </c>
    </row>
    <row r="96" spans="2:12" ht="12.75">
      <c r="B96" s="18" t="s">
        <v>544</v>
      </c>
      <c r="D96" s="41">
        <f>remont!D11</f>
        <v>14530</v>
      </c>
      <c r="E96" s="41">
        <f>remont!E11</f>
        <v>12682</v>
      </c>
      <c r="F96" s="41">
        <f>remont!F11</f>
        <v>13312</v>
      </c>
      <c r="G96" s="41">
        <f>remont!G11</f>
        <v>13144</v>
      </c>
      <c r="H96" s="41">
        <f>remont!H11</f>
        <v>12960</v>
      </c>
      <c r="I96" s="41">
        <f>remont!I11</f>
        <v>8360</v>
      </c>
      <c r="J96" s="41">
        <f>remont!J11</f>
        <v>6048</v>
      </c>
      <c r="K96" s="41">
        <f>remont!K11</f>
        <v>4560</v>
      </c>
      <c r="L96" s="41">
        <f t="shared" si="21"/>
        <v>85596</v>
      </c>
    </row>
    <row r="97" spans="2:12" ht="12.75">
      <c r="B97" s="18" t="s">
        <v>545</v>
      </c>
      <c r="D97" s="41">
        <f>D35-D95-D96</f>
        <v>4436</v>
      </c>
      <c r="E97" s="41">
        <f aca="true" t="shared" si="22" ref="E97:K97">E89+SUM(E69:E78)</f>
        <v>12357</v>
      </c>
      <c r="F97" s="41">
        <f t="shared" si="22"/>
        <v>14057</v>
      </c>
      <c r="G97" s="41">
        <f t="shared" si="22"/>
        <v>10257</v>
      </c>
      <c r="H97" s="41">
        <f t="shared" si="22"/>
        <v>12757</v>
      </c>
      <c r="I97" s="41">
        <f t="shared" si="22"/>
        <v>5457</v>
      </c>
      <c r="J97" s="41">
        <f t="shared" si="22"/>
        <v>11457</v>
      </c>
      <c r="K97" s="41">
        <f t="shared" si="22"/>
        <v>5358</v>
      </c>
      <c r="L97" s="41">
        <f t="shared" si="21"/>
        <v>76136</v>
      </c>
    </row>
    <row r="98" spans="2:12" ht="13.5" thickBot="1">
      <c r="B98" s="716" t="s">
        <v>4</v>
      </c>
      <c r="C98" s="716"/>
      <c r="D98" s="717">
        <f>SUM(D93:D97)</f>
        <v>28104</v>
      </c>
      <c r="E98" s="717">
        <f aca="true" t="shared" si="23" ref="E98:K98">SUM(E93:E97)</f>
        <v>40382</v>
      </c>
      <c r="F98" s="717">
        <f t="shared" si="23"/>
        <v>41698</v>
      </c>
      <c r="G98" s="717">
        <f t="shared" si="23"/>
        <v>41016</v>
      </c>
      <c r="H98" s="717">
        <f t="shared" si="23"/>
        <v>212288</v>
      </c>
      <c r="I98" s="717">
        <f t="shared" si="23"/>
        <v>140818</v>
      </c>
      <c r="J98" s="717">
        <f t="shared" si="23"/>
        <v>117644</v>
      </c>
      <c r="K98" s="717">
        <f t="shared" si="23"/>
        <v>95013</v>
      </c>
      <c r="L98" s="717">
        <f t="shared" si="21"/>
        <v>716963</v>
      </c>
    </row>
    <row r="99" spans="5:11" s="710" customFormat="1" ht="13.5" thickTop="1">
      <c r="E99" s="718"/>
      <c r="F99" s="718"/>
      <c r="G99" s="718"/>
      <c r="H99" s="718"/>
      <c r="I99" s="718"/>
      <c r="J99" s="718"/>
      <c r="K99" s="718"/>
    </row>
    <row r="100" spans="5:12" s="710" customFormat="1" ht="12.75">
      <c r="E100" s="407"/>
      <c r="F100" s="407"/>
      <c r="G100" s="407"/>
      <c r="H100" s="407"/>
      <c r="I100" s="407"/>
      <c r="J100" s="407"/>
      <c r="K100" s="407"/>
      <c r="L100" s="407"/>
    </row>
    <row r="101" ht="12.75">
      <c r="E101" s="41"/>
    </row>
  </sheetData>
  <sheetProtection/>
  <mergeCells count="1">
    <mergeCell ref="I1:K1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landscape" paperSize="9" scale="6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49.140625" style="665" customWidth="1"/>
    <col min="2" max="9" width="8.7109375" style="665" customWidth="1"/>
    <col min="10" max="10" width="8.7109375" style="747" customWidth="1"/>
    <col min="11" max="17" width="8.7109375" style="665" customWidth="1"/>
    <col min="18" max="16384" width="9.140625" style="665" customWidth="1"/>
  </cols>
  <sheetData>
    <row r="1" spans="1:17" ht="14.25" customHeight="1">
      <c r="A1" s="755" t="s">
        <v>441</v>
      </c>
      <c r="B1" s="756"/>
      <c r="C1" s="756"/>
      <c r="D1" s="756"/>
      <c r="E1" s="756"/>
      <c r="F1" s="757"/>
      <c r="G1" s="756"/>
      <c r="H1" s="756"/>
      <c r="I1" s="756"/>
      <c r="J1" s="736"/>
      <c r="M1" s="656" t="s">
        <v>642</v>
      </c>
      <c r="N1" s="656" t="s">
        <v>643</v>
      </c>
      <c r="O1" s="656"/>
      <c r="P1" s="656"/>
      <c r="Q1" s="656"/>
    </row>
    <row r="2" spans="1:17" ht="13.5">
      <c r="A2" s="755" t="s">
        <v>646</v>
      </c>
      <c r="B2" s="756"/>
      <c r="C2" s="756"/>
      <c r="D2" s="756"/>
      <c r="E2" s="756"/>
      <c r="F2" s="756"/>
      <c r="G2" s="756"/>
      <c r="H2" s="756"/>
      <c r="I2" s="753"/>
      <c r="J2" s="736"/>
      <c r="O2" s="656"/>
      <c r="P2" s="656"/>
      <c r="Q2" s="656"/>
    </row>
    <row r="3" spans="1:17" ht="13.5" customHeight="1" thickBot="1">
      <c r="A3" s="781" t="s">
        <v>442</v>
      </c>
      <c r="B3" s="758" t="s">
        <v>547</v>
      </c>
      <c r="C3" s="758" t="s">
        <v>12</v>
      </c>
      <c r="D3" s="758" t="s">
        <v>41</v>
      </c>
      <c r="E3" s="758" t="s">
        <v>548</v>
      </c>
      <c r="F3" s="758" t="s">
        <v>51</v>
      </c>
      <c r="G3" s="758" t="s">
        <v>52</v>
      </c>
      <c r="H3" s="758" t="s">
        <v>53</v>
      </c>
      <c r="I3" s="758" t="s">
        <v>54</v>
      </c>
      <c r="J3" s="758" t="s">
        <v>96</v>
      </c>
      <c r="K3" s="758" t="s">
        <v>97</v>
      </c>
      <c r="L3" s="758" t="s">
        <v>112</v>
      </c>
      <c r="M3" s="758" t="s">
        <v>337</v>
      </c>
      <c r="N3" s="758" t="s">
        <v>338</v>
      </c>
      <c r="O3" s="758" t="s">
        <v>339</v>
      </c>
      <c r="P3" s="758" t="s">
        <v>340</v>
      </c>
      <c r="Q3" s="758" t="s">
        <v>341</v>
      </c>
    </row>
    <row r="4" spans="1:10" ht="13.5" customHeight="1" thickTop="1">
      <c r="A4" s="759" t="s">
        <v>443</v>
      </c>
      <c r="B4" s="760"/>
      <c r="C4" s="761"/>
      <c r="D4" s="761"/>
      <c r="E4" s="761"/>
      <c r="F4" s="761"/>
      <c r="G4" s="761"/>
      <c r="H4" s="761"/>
      <c r="I4" s="737"/>
      <c r="J4" s="737"/>
    </row>
    <row r="5" spans="1:17" ht="13.5" customHeight="1">
      <c r="A5" s="762" t="s">
        <v>444</v>
      </c>
      <c r="B5" s="729">
        <v>101598</v>
      </c>
      <c r="C5" s="729">
        <v>187881</v>
      </c>
      <c r="D5" s="729">
        <v>205660</v>
      </c>
      <c r="E5" s="729">
        <v>258003</v>
      </c>
      <c r="F5" s="729">
        <v>281908</v>
      </c>
      <c r="G5" s="729">
        <v>264598</v>
      </c>
      <c r="H5" s="729">
        <v>253620</v>
      </c>
      <c r="I5" s="729">
        <v>247501</v>
      </c>
      <c r="J5" s="729">
        <v>254633</v>
      </c>
      <c r="K5" s="729">
        <v>255486</v>
      </c>
      <c r="L5" s="729">
        <v>258772</v>
      </c>
      <c r="M5" s="729">
        <v>264529</v>
      </c>
      <c r="N5" s="729">
        <v>268985</v>
      </c>
      <c r="O5" s="729">
        <v>273539</v>
      </c>
      <c r="P5" s="729">
        <v>274772</v>
      </c>
      <c r="Q5" s="729">
        <v>283247</v>
      </c>
    </row>
    <row r="6" spans="1:17" ht="13.5" customHeight="1">
      <c r="A6" s="763" t="s">
        <v>445</v>
      </c>
      <c r="B6" s="730">
        <v>101598</v>
      </c>
      <c r="C6" s="730">
        <v>187881</v>
      </c>
      <c r="D6" s="730">
        <v>205660</v>
      </c>
      <c r="E6" s="730">
        <v>98003</v>
      </c>
      <c r="F6" s="730">
        <v>111908</v>
      </c>
      <c r="G6" s="730">
        <v>94598</v>
      </c>
      <c r="H6" s="730">
        <v>83620</v>
      </c>
      <c r="I6" s="730">
        <v>76170</v>
      </c>
      <c r="J6" s="730">
        <v>74633</v>
      </c>
      <c r="K6" s="730">
        <v>78544</v>
      </c>
      <c r="L6" s="730">
        <v>80346</v>
      </c>
      <c r="M6" s="730">
        <v>82811</v>
      </c>
      <c r="N6" s="730">
        <v>87252</v>
      </c>
      <c r="O6" s="730">
        <v>92095</v>
      </c>
      <c r="P6" s="730">
        <v>96917</v>
      </c>
      <c r="Q6" s="730">
        <v>102441</v>
      </c>
    </row>
    <row r="7" spans="1:17" ht="13.5" customHeight="1">
      <c r="A7" s="764" t="s">
        <v>446</v>
      </c>
      <c r="B7" s="730"/>
      <c r="C7" s="729"/>
      <c r="D7" s="729"/>
      <c r="E7" s="729">
        <v>160000</v>
      </c>
      <c r="F7" s="729">
        <v>170000</v>
      </c>
      <c r="G7" s="729">
        <v>170000</v>
      </c>
      <c r="H7" s="729">
        <v>170000</v>
      </c>
      <c r="I7" s="729">
        <v>171331</v>
      </c>
      <c r="J7" s="729">
        <v>180000</v>
      </c>
      <c r="K7" s="729">
        <v>176942</v>
      </c>
      <c r="L7" s="729">
        <v>178426</v>
      </c>
      <c r="M7" s="729">
        <v>181718</v>
      </c>
      <c r="N7" s="729">
        <v>181733</v>
      </c>
      <c r="O7" s="729">
        <v>181444</v>
      </c>
      <c r="P7" s="729">
        <v>177855</v>
      </c>
      <c r="Q7" s="729">
        <v>180806</v>
      </c>
    </row>
    <row r="8" spans="1:17" ht="13.5" customHeight="1">
      <c r="A8" s="762" t="s">
        <v>447</v>
      </c>
      <c r="B8" s="730">
        <v>100891</v>
      </c>
      <c r="C8" s="730">
        <v>189468</v>
      </c>
      <c r="D8" s="730">
        <v>215998</v>
      </c>
      <c r="E8" s="730">
        <v>272393</v>
      </c>
      <c r="F8" s="730">
        <v>250482</v>
      </c>
      <c r="G8" s="730">
        <v>185779</v>
      </c>
      <c r="H8" s="730">
        <v>180789</v>
      </c>
      <c r="I8" s="730">
        <v>189626</v>
      </c>
      <c r="J8" s="730">
        <v>203536</v>
      </c>
      <c r="K8" s="730">
        <v>204789</v>
      </c>
      <c r="L8" s="730">
        <v>205490</v>
      </c>
      <c r="M8" s="730">
        <v>207922</v>
      </c>
      <c r="N8" s="730">
        <v>209595</v>
      </c>
      <c r="O8" s="730">
        <v>210287</v>
      </c>
      <c r="P8" s="730">
        <v>215643</v>
      </c>
      <c r="Q8" s="730">
        <v>220543</v>
      </c>
    </row>
    <row r="9" spans="1:17" ht="13.5" customHeight="1">
      <c r="A9" s="765" t="s">
        <v>448</v>
      </c>
      <c r="B9" s="731">
        <v>707</v>
      </c>
      <c r="C9" s="731">
        <v>-1587</v>
      </c>
      <c r="D9" s="731">
        <v>-10338</v>
      </c>
      <c r="E9" s="731">
        <v>-14390</v>
      </c>
      <c r="F9" s="731">
        <v>31426</v>
      </c>
      <c r="G9" s="731">
        <v>78819</v>
      </c>
      <c r="H9" s="731">
        <v>72831</v>
      </c>
      <c r="I9" s="731">
        <v>57875</v>
      </c>
      <c r="J9" s="731">
        <v>51097</v>
      </c>
      <c r="K9" s="731">
        <v>50697</v>
      </c>
      <c r="L9" s="731">
        <v>53282</v>
      </c>
      <c r="M9" s="731">
        <v>56607</v>
      </c>
      <c r="N9" s="731">
        <v>59390</v>
      </c>
      <c r="O9" s="731">
        <v>63252</v>
      </c>
      <c r="P9" s="731">
        <v>59129</v>
      </c>
      <c r="Q9" s="731">
        <v>62704</v>
      </c>
    </row>
    <row r="10" spans="1:17" ht="13.5" customHeight="1">
      <c r="A10" s="762" t="s">
        <v>449</v>
      </c>
      <c r="B10" s="729"/>
      <c r="C10" s="729"/>
      <c r="D10" s="729">
        <v>90</v>
      </c>
      <c r="E10" s="729">
        <v>86</v>
      </c>
      <c r="F10" s="729">
        <v>483</v>
      </c>
      <c r="G10" s="729">
        <v>714</v>
      </c>
      <c r="H10" s="729">
        <v>5248</v>
      </c>
      <c r="I10" s="729">
        <v>18082</v>
      </c>
      <c r="J10" s="729">
        <v>32103</v>
      </c>
      <c r="K10" s="729">
        <v>10948</v>
      </c>
      <c r="L10" s="729">
        <v>10949</v>
      </c>
      <c r="M10" s="729">
        <v>10951</v>
      </c>
      <c r="N10" s="729">
        <v>27451</v>
      </c>
      <c r="O10" s="729">
        <v>37949</v>
      </c>
      <c r="P10" s="729">
        <v>45952</v>
      </c>
      <c r="Q10" s="729">
        <v>53949</v>
      </c>
    </row>
    <row r="11" spans="1:17" ht="13.5" customHeight="1">
      <c r="A11" s="762" t="s">
        <v>450</v>
      </c>
      <c r="B11" s="730">
        <v>942</v>
      </c>
      <c r="C11" s="730">
        <v>1528</v>
      </c>
      <c r="D11" s="730">
        <v>1284</v>
      </c>
      <c r="E11" s="730">
        <v>1161</v>
      </c>
      <c r="F11" s="730">
        <v>31602</v>
      </c>
      <c r="G11" s="730">
        <v>74625</v>
      </c>
      <c r="H11" s="730">
        <v>79017</v>
      </c>
      <c r="I11" s="730">
        <v>82935</v>
      </c>
      <c r="J11" s="730">
        <v>86501</v>
      </c>
      <c r="K11" s="730">
        <v>59357</v>
      </c>
      <c r="L11" s="730">
        <v>61912</v>
      </c>
      <c r="M11" s="730">
        <v>64606</v>
      </c>
      <c r="N11" s="730">
        <v>84187</v>
      </c>
      <c r="O11" s="730">
        <v>97683</v>
      </c>
      <c r="P11" s="730">
        <v>101446</v>
      </c>
      <c r="Q11" s="730">
        <v>112041</v>
      </c>
    </row>
    <row r="12" spans="1:17" ht="13.5" customHeight="1">
      <c r="A12" s="766" t="s">
        <v>451</v>
      </c>
      <c r="B12" s="730"/>
      <c r="C12" s="729"/>
      <c r="D12" s="729">
        <v>90</v>
      </c>
      <c r="E12" s="729">
        <v>86</v>
      </c>
      <c r="F12" s="729">
        <v>483</v>
      </c>
      <c r="G12" s="729">
        <v>714</v>
      </c>
      <c r="H12" s="729">
        <v>5248</v>
      </c>
      <c r="I12" s="729">
        <v>18082</v>
      </c>
      <c r="J12" s="729">
        <v>32103</v>
      </c>
      <c r="K12" s="729">
        <v>10948</v>
      </c>
      <c r="L12" s="729">
        <v>10949</v>
      </c>
      <c r="M12" s="729">
        <v>10951</v>
      </c>
      <c r="N12" s="729">
        <v>27451</v>
      </c>
      <c r="O12" s="729">
        <v>37949</v>
      </c>
      <c r="P12" s="729">
        <v>45952</v>
      </c>
      <c r="Q12" s="729">
        <v>53949</v>
      </c>
    </row>
    <row r="13" spans="1:17" ht="13.5" customHeight="1">
      <c r="A13" s="765" t="s">
        <v>452</v>
      </c>
      <c r="B13" s="731">
        <v>-235</v>
      </c>
      <c r="C13" s="731">
        <v>-3115</v>
      </c>
      <c r="D13" s="731">
        <v>-11532</v>
      </c>
      <c r="E13" s="731">
        <v>-15465</v>
      </c>
      <c r="F13" s="731">
        <v>307</v>
      </c>
      <c r="G13" s="731">
        <v>4908</v>
      </c>
      <c r="H13" s="731">
        <v>-938</v>
      </c>
      <c r="I13" s="731">
        <v>-6978</v>
      </c>
      <c r="J13" s="731">
        <v>-3301</v>
      </c>
      <c r="K13" s="731">
        <v>2288</v>
      </c>
      <c r="L13" s="731">
        <v>2319</v>
      </c>
      <c r="M13" s="731">
        <v>2952</v>
      </c>
      <c r="N13" s="731">
        <v>2654</v>
      </c>
      <c r="O13" s="731">
        <v>3518</v>
      </c>
      <c r="P13" s="731">
        <v>3635</v>
      </c>
      <c r="Q13" s="731">
        <v>4612</v>
      </c>
    </row>
    <row r="14" spans="1:17" ht="13.5" customHeight="1">
      <c r="A14" s="767" t="s">
        <v>453</v>
      </c>
      <c r="B14" s="732">
        <v>11</v>
      </c>
      <c r="C14" s="732">
        <v>108</v>
      </c>
      <c r="D14" s="732">
        <v>15</v>
      </c>
      <c r="E14" s="732">
        <v>12</v>
      </c>
      <c r="F14" s="732">
        <v>30</v>
      </c>
      <c r="G14" s="732">
        <v>7616</v>
      </c>
      <c r="H14" s="732">
        <v>11</v>
      </c>
      <c r="I14" s="732">
        <v>839</v>
      </c>
      <c r="J14" s="732">
        <v>3900</v>
      </c>
      <c r="K14" s="732">
        <v>7029</v>
      </c>
      <c r="L14" s="732">
        <v>4224</v>
      </c>
      <c r="M14" s="732">
        <v>5435</v>
      </c>
      <c r="N14" s="732">
        <v>5323</v>
      </c>
      <c r="O14" s="732">
        <v>3480</v>
      </c>
      <c r="P14" s="732">
        <v>2489</v>
      </c>
      <c r="Q14" s="732">
        <v>1873</v>
      </c>
    </row>
    <row r="15" spans="1:17" ht="13.5" customHeight="1">
      <c r="A15" s="768" t="s">
        <v>454</v>
      </c>
      <c r="B15" s="733">
        <v>659</v>
      </c>
      <c r="C15" s="733">
        <v>142</v>
      </c>
      <c r="D15" s="733">
        <v>21</v>
      </c>
      <c r="E15" s="733">
        <v>29</v>
      </c>
      <c r="F15" s="733">
        <v>166</v>
      </c>
      <c r="G15" s="733">
        <v>16951</v>
      </c>
      <c r="H15" s="733">
        <v>1785</v>
      </c>
      <c r="I15" s="733">
        <v>916</v>
      </c>
      <c r="J15" s="733">
        <v>5655</v>
      </c>
      <c r="K15" s="733">
        <v>9147</v>
      </c>
      <c r="L15" s="733">
        <v>5700</v>
      </c>
      <c r="M15" s="733">
        <v>6210</v>
      </c>
      <c r="N15" s="733">
        <v>6269</v>
      </c>
      <c r="O15" s="733">
        <v>3935</v>
      </c>
      <c r="P15" s="733">
        <v>2874</v>
      </c>
      <c r="Q15" s="733">
        <v>2048</v>
      </c>
    </row>
    <row r="16" spans="1:17" ht="13.5" customHeight="1">
      <c r="A16" s="768" t="s">
        <v>455</v>
      </c>
      <c r="B16" s="733">
        <v>-648</v>
      </c>
      <c r="C16" s="733">
        <v>-34</v>
      </c>
      <c r="D16" s="733">
        <v>-6</v>
      </c>
      <c r="E16" s="733">
        <v>-17</v>
      </c>
      <c r="F16" s="733">
        <v>-136</v>
      </c>
      <c r="G16" s="733">
        <v>-9335</v>
      </c>
      <c r="H16" s="733">
        <v>-1774</v>
      </c>
      <c r="I16" s="733">
        <v>-77</v>
      </c>
      <c r="J16" s="733">
        <v>-1755</v>
      </c>
      <c r="K16" s="733">
        <v>-2118</v>
      </c>
      <c r="L16" s="733">
        <v>-1476</v>
      </c>
      <c r="M16" s="733">
        <v>-775</v>
      </c>
      <c r="N16" s="733">
        <v>-946</v>
      </c>
      <c r="O16" s="733">
        <v>-455</v>
      </c>
      <c r="P16" s="733">
        <v>-385</v>
      </c>
      <c r="Q16" s="733">
        <v>-175</v>
      </c>
    </row>
    <row r="17" spans="1:17" ht="13.5" customHeight="1">
      <c r="A17" s="768" t="s">
        <v>456</v>
      </c>
      <c r="B17" s="733"/>
      <c r="C17" s="733"/>
      <c r="D17" s="733"/>
      <c r="E17" s="733"/>
      <c r="F17" s="733"/>
      <c r="G17" s="733"/>
      <c r="H17" s="733">
        <v>7250</v>
      </c>
      <c r="I17" s="733">
        <v>0</v>
      </c>
      <c r="J17" s="733">
        <v>0</v>
      </c>
      <c r="K17" s="733">
        <v>0</v>
      </c>
      <c r="L17" s="733">
        <v>0</v>
      </c>
      <c r="M17" s="733">
        <v>0</v>
      </c>
      <c r="N17" s="733">
        <v>0</v>
      </c>
      <c r="O17" s="733">
        <v>0</v>
      </c>
      <c r="P17" s="733">
        <v>0</v>
      </c>
      <c r="Q17" s="733">
        <v>0</v>
      </c>
    </row>
    <row r="18" spans="1:17" ht="13.5" customHeight="1">
      <c r="A18" s="762" t="s">
        <v>457</v>
      </c>
      <c r="B18" s="730">
        <v>-69</v>
      </c>
      <c r="C18" s="730">
        <v>-37</v>
      </c>
      <c r="D18" s="730">
        <v>-64</v>
      </c>
      <c r="E18" s="730">
        <v>-144</v>
      </c>
      <c r="F18" s="730">
        <v>-35</v>
      </c>
      <c r="G18" s="730">
        <v>-11467</v>
      </c>
      <c r="H18" s="730">
        <v>-12317</v>
      </c>
      <c r="I18" s="730">
        <v>-4762</v>
      </c>
      <c r="J18" s="730">
        <v>-3093</v>
      </c>
      <c r="K18" s="730">
        <v>-2599</v>
      </c>
      <c r="L18" s="730">
        <v>-2342</v>
      </c>
      <c r="M18" s="730">
        <v>-2086</v>
      </c>
      <c r="N18" s="730">
        <v>-1729</v>
      </c>
      <c r="O18" s="730">
        <v>-1572</v>
      </c>
      <c r="P18" s="730">
        <v>-1316</v>
      </c>
      <c r="Q18" s="730">
        <v>-1159</v>
      </c>
    </row>
    <row r="19" spans="1:17" ht="13.5" customHeight="1">
      <c r="A19" s="765" t="s">
        <v>458</v>
      </c>
      <c r="B19" s="731">
        <v>-293</v>
      </c>
      <c r="C19" s="731">
        <v>-3044</v>
      </c>
      <c r="D19" s="731">
        <v>-11581</v>
      </c>
      <c r="E19" s="731">
        <v>-15597</v>
      </c>
      <c r="F19" s="731">
        <v>302</v>
      </c>
      <c r="G19" s="731">
        <v>1057</v>
      </c>
      <c r="H19" s="731">
        <v>-5994</v>
      </c>
      <c r="I19" s="731">
        <v>-10901</v>
      </c>
      <c r="J19" s="731">
        <v>-2494</v>
      </c>
      <c r="K19" s="731">
        <v>6718</v>
      </c>
      <c r="L19" s="731">
        <v>4201</v>
      </c>
      <c r="M19" s="731">
        <v>6301</v>
      </c>
      <c r="N19" s="731">
        <v>6248</v>
      </c>
      <c r="O19" s="731">
        <v>5426</v>
      </c>
      <c r="P19" s="731">
        <v>4808</v>
      </c>
      <c r="Q19" s="731">
        <v>5326</v>
      </c>
    </row>
    <row r="20" spans="1:17" ht="13.5" customHeight="1">
      <c r="A20" s="762" t="s">
        <v>459</v>
      </c>
      <c r="B20" s="730">
        <v>0</v>
      </c>
      <c r="C20" s="729">
        <v>-177</v>
      </c>
      <c r="D20" s="729">
        <v>-121</v>
      </c>
      <c r="E20" s="729">
        <v>59</v>
      </c>
      <c r="F20" s="729">
        <v>-916</v>
      </c>
      <c r="G20" s="729">
        <v>-570</v>
      </c>
      <c r="H20" s="729">
        <v>6509</v>
      </c>
      <c r="I20" s="729">
        <v>4366</v>
      </c>
      <c r="J20" s="729">
        <v>0</v>
      </c>
      <c r="K20" s="729">
        <v>0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</row>
    <row r="21" spans="1:17" ht="26.25" customHeight="1">
      <c r="A21" s="769" t="s">
        <v>460</v>
      </c>
      <c r="B21" s="732"/>
      <c r="C21" s="732"/>
      <c r="D21" s="732"/>
      <c r="E21" s="732"/>
      <c r="F21" s="732"/>
      <c r="G21" s="732"/>
      <c r="H21" s="732">
        <v>139</v>
      </c>
      <c r="I21" s="732">
        <v>0</v>
      </c>
      <c r="J21" s="732">
        <v>3183</v>
      </c>
      <c r="K21" s="732">
        <v>0</v>
      </c>
      <c r="L21" s="732">
        <v>0</v>
      </c>
      <c r="M21" s="732">
        <v>0</v>
      </c>
      <c r="N21" s="732">
        <v>0</v>
      </c>
      <c r="O21" s="732">
        <v>0</v>
      </c>
      <c r="P21" s="732">
        <v>0</v>
      </c>
      <c r="Q21" s="732">
        <v>0</v>
      </c>
    </row>
    <row r="22" spans="1:17" ht="26.25" customHeight="1">
      <c r="A22" s="770" t="s">
        <v>461</v>
      </c>
      <c r="B22" s="733"/>
      <c r="C22" s="733"/>
      <c r="D22" s="733"/>
      <c r="E22" s="733"/>
      <c r="F22" s="733"/>
      <c r="G22" s="733"/>
      <c r="H22" s="733">
        <v>143</v>
      </c>
      <c r="I22" s="733">
        <v>0</v>
      </c>
      <c r="J22" s="733">
        <v>3200</v>
      </c>
      <c r="K22" s="733">
        <v>0</v>
      </c>
      <c r="L22" s="733">
        <v>0</v>
      </c>
      <c r="M22" s="733">
        <v>0</v>
      </c>
      <c r="N22" s="733">
        <v>0</v>
      </c>
      <c r="O22" s="733">
        <v>0</v>
      </c>
      <c r="P22" s="733">
        <v>0</v>
      </c>
      <c r="Q22" s="733">
        <v>0</v>
      </c>
    </row>
    <row r="23" spans="1:17" ht="25.5" customHeight="1">
      <c r="A23" s="770" t="s">
        <v>462</v>
      </c>
      <c r="B23" s="733"/>
      <c r="C23" s="733"/>
      <c r="D23" s="733"/>
      <c r="E23" s="733"/>
      <c r="F23" s="733"/>
      <c r="G23" s="733"/>
      <c r="H23" s="733">
        <v>-4</v>
      </c>
      <c r="I23" s="733">
        <v>0</v>
      </c>
      <c r="J23" s="733">
        <v>-17</v>
      </c>
      <c r="K23" s="733">
        <v>0</v>
      </c>
      <c r="L23" s="733">
        <v>0</v>
      </c>
      <c r="M23" s="733">
        <v>0</v>
      </c>
      <c r="N23" s="733">
        <v>0</v>
      </c>
      <c r="O23" s="733">
        <v>0</v>
      </c>
      <c r="P23" s="733">
        <v>0</v>
      </c>
      <c r="Q23" s="733">
        <v>0</v>
      </c>
    </row>
    <row r="24" spans="1:17" ht="13.5" customHeight="1">
      <c r="A24" s="765" t="s">
        <v>463</v>
      </c>
      <c r="B24" s="731">
        <v>-293</v>
      </c>
      <c r="C24" s="731">
        <v>-2867</v>
      </c>
      <c r="D24" s="731">
        <v>-11460</v>
      </c>
      <c r="E24" s="731">
        <v>-15656</v>
      </c>
      <c r="F24" s="731">
        <v>1218</v>
      </c>
      <c r="G24" s="731">
        <v>1627</v>
      </c>
      <c r="H24" s="731">
        <v>-12364</v>
      </c>
      <c r="I24" s="731">
        <v>-15267</v>
      </c>
      <c r="J24" s="731">
        <v>689</v>
      </c>
      <c r="K24" s="731">
        <v>6718</v>
      </c>
      <c r="L24" s="731">
        <v>4201</v>
      </c>
      <c r="M24" s="731">
        <v>6301</v>
      </c>
      <c r="N24" s="731">
        <v>6248</v>
      </c>
      <c r="O24" s="731">
        <v>5426</v>
      </c>
      <c r="P24" s="731">
        <v>4808</v>
      </c>
      <c r="Q24" s="731">
        <v>5326</v>
      </c>
    </row>
    <row r="25" spans="1:17" ht="13.5" customHeight="1">
      <c r="A25" s="767"/>
      <c r="B25" s="734"/>
      <c r="C25" s="735"/>
      <c r="D25" s="735"/>
      <c r="E25" s="735"/>
      <c r="F25" s="735"/>
      <c r="G25" s="735"/>
      <c r="H25" s="732"/>
      <c r="I25" s="732"/>
      <c r="J25" s="732"/>
      <c r="K25" s="732"/>
      <c r="L25" s="732"/>
      <c r="M25" s="732"/>
      <c r="N25" s="732"/>
      <c r="O25" s="732"/>
      <c r="P25" s="732"/>
      <c r="Q25" s="732"/>
    </row>
    <row r="26" spans="1:17" ht="13.5" customHeight="1">
      <c r="A26" s="771" t="s">
        <v>464</v>
      </c>
      <c r="B26" s="731">
        <v>649</v>
      </c>
      <c r="C26" s="731">
        <v>-1339</v>
      </c>
      <c r="D26" s="731">
        <v>-10176</v>
      </c>
      <c r="E26" s="731">
        <v>-14495</v>
      </c>
      <c r="F26" s="731">
        <v>32820</v>
      </c>
      <c r="G26" s="731">
        <v>76252</v>
      </c>
      <c r="H26" s="731">
        <v>66653</v>
      </c>
      <c r="I26" s="731">
        <v>67668</v>
      </c>
      <c r="J26" s="731">
        <v>87190</v>
      </c>
      <c r="K26" s="731">
        <v>66075</v>
      </c>
      <c r="L26" s="731">
        <v>66113</v>
      </c>
      <c r="M26" s="731">
        <v>70907</v>
      </c>
      <c r="N26" s="731">
        <v>90435</v>
      </c>
      <c r="O26" s="731">
        <v>103109</v>
      </c>
      <c r="P26" s="731">
        <v>106254</v>
      </c>
      <c r="Q26" s="731">
        <v>117367</v>
      </c>
    </row>
    <row r="27" spans="1:10" ht="13.5" customHeight="1">
      <c r="A27" s="767" t="s">
        <v>549</v>
      </c>
      <c r="B27" s="736"/>
      <c r="C27" s="737"/>
      <c r="D27" s="737"/>
      <c r="E27" s="737"/>
      <c r="F27" s="737"/>
      <c r="G27" s="737"/>
      <c r="H27" s="738"/>
      <c r="I27" s="730"/>
      <c r="J27" s="737"/>
    </row>
    <row r="28" spans="1:17" ht="13.5" customHeight="1">
      <c r="A28" s="772" t="s">
        <v>465</v>
      </c>
      <c r="B28" s="730">
        <v>9607</v>
      </c>
      <c r="C28" s="730">
        <v>35017</v>
      </c>
      <c r="D28" s="730">
        <v>20209</v>
      </c>
      <c r="E28" s="730">
        <v>4526</v>
      </c>
      <c r="F28" s="730">
        <v>448140</v>
      </c>
      <c r="G28" s="730">
        <v>241812</v>
      </c>
      <c r="H28" s="730">
        <v>115017</v>
      </c>
      <c r="I28" s="730">
        <v>63202</v>
      </c>
      <c r="J28" s="730">
        <v>262892</v>
      </c>
      <c r="K28" s="730">
        <v>269610</v>
      </c>
      <c r="L28" s="730">
        <v>273811</v>
      </c>
      <c r="M28" s="730">
        <v>280112</v>
      </c>
      <c r="N28" s="730">
        <v>286360</v>
      </c>
      <c r="O28" s="730">
        <v>291786</v>
      </c>
      <c r="P28" s="730">
        <v>296594</v>
      </c>
      <c r="Q28" s="730">
        <v>301920</v>
      </c>
    </row>
    <row r="29" spans="1:17" ht="13.5" customHeight="1">
      <c r="A29" s="772" t="s">
        <v>466</v>
      </c>
      <c r="B29" s="730">
        <v>13053</v>
      </c>
      <c r="C29" s="730">
        <v>38451</v>
      </c>
      <c r="D29" s="730">
        <v>26021</v>
      </c>
      <c r="E29" s="730">
        <v>30080</v>
      </c>
      <c r="F29" s="730">
        <v>500596</v>
      </c>
      <c r="G29" s="730">
        <v>406329</v>
      </c>
      <c r="H29" s="730">
        <v>332459</v>
      </c>
      <c r="I29" s="730">
        <v>250803</v>
      </c>
      <c r="J29" s="730">
        <v>424063</v>
      </c>
      <c r="K29" s="730">
        <v>458496</v>
      </c>
      <c r="L29" s="730">
        <v>471215</v>
      </c>
      <c r="M29" s="730">
        <v>529363</v>
      </c>
      <c r="N29" s="730">
        <v>570958</v>
      </c>
      <c r="O29" s="730">
        <v>601233</v>
      </c>
      <c r="P29" s="730">
        <v>616887</v>
      </c>
      <c r="Q29" s="730">
        <v>626062</v>
      </c>
    </row>
    <row r="30" spans="1:17" ht="13.5" customHeight="1">
      <c r="A30" s="772" t="s">
        <v>467</v>
      </c>
      <c r="B30" s="730">
        <v>30935</v>
      </c>
      <c r="C30" s="730">
        <v>67315</v>
      </c>
      <c r="D30" s="729">
        <v>55476</v>
      </c>
      <c r="E30" s="729">
        <v>94520</v>
      </c>
      <c r="F30" s="729">
        <v>544536</v>
      </c>
      <c r="G30" s="729">
        <v>540101</v>
      </c>
      <c r="H30" s="733">
        <v>471342</v>
      </c>
      <c r="I30" s="733">
        <v>402682</v>
      </c>
      <c r="J30" s="733">
        <v>552001</v>
      </c>
      <c r="K30" s="733">
        <v>593520</v>
      </c>
      <c r="L30" s="733">
        <v>636981</v>
      </c>
      <c r="M30" s="733">
        <v>676829</v>
      </c>
      <c r="N30" s="733">
        <v>708609</v>
      </c>
      <c r="O30" s="733">
        <v>716403</v>
      </c>
      <c r="P30" s="733">
        <v>713880</v>
      </c>
      <c r="Q30" s="733">
        <v>665112</v>
      </c>
    </row>
    <row r="31" spans="1:17" ht="13.5">
      <c r="A31" s="772" t="s">
        <v>468</v>
      </c>
      <c r="B31" s="730">
        <v>19307</v>
      </c>
      <c r="C31" s="730">
        <v>30188</v>
      </c>
      <c r="D31" s="730">
        <v>32737</v>
      </c>
      <c r="E31" s="730">
        <v>87405</v>
      </c>
      <c r="F31" s="730">
        <v>51147</v>
      </c>
      <c r="G31" s="730">
        <v>236353</v>
      </c>
      <c r="H31" s="730">
        <v>285385</v>
      </c>
      <c r="I31" s="730">
        <v>245708</v>
      </c>
      <c r="J31" s="730">
        <v>197440</v>
      </c>
      <c r="K31" s="730">
        <v>180189</v>
      </c>
      <c r="L31" s="730">
        <v>167398</v>
      </c>
      <c r="M31" s="730">
        <v>148896</v>
      </c>
      <c r="N31" s="730">
        <v>138879</v>
      </c>
      <c r="O31" s="730">
        <v>116196</v>
      </c>
      <c r="P31" s="730">
        <v>97817</v>
      </c>
      <c r="Q31" s="730">
        <v>39672</v>
      </c>
    </row>
    <row r="32" spans="1:17" ht="13.5">
      <c r="A32" s="773" t="s">
        <v>469</v>
      </c>
      <c r="B32" s="739"/>
      <c r="C32" s="739"/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39"/>
    </row>
    <row r="33" spans="1:17" ht="13.5">
      <c r="A33" s="774" t="s">
        <v>470</v>
      </c>
      <c r="B33" s="740">
        <v>5564</v>
      </c>
      <c r="C33" s="740">
        <v>5381</v>
      </c>
      <c r="D33" s="740">
        <v>5151</v>
      </c>
      <c r="E33" s="740">
        <v>4786</v>
      </c>
      <c r="F33" s="740">
        <v>6461</v>
      </c>
      <c r="G33" s="740">
        <v>6276</v>
      </c>
      <c r="H33" s="741">
        <v>6080</v>
      </c>
      <c r="I33" s="741">
        <v>6105</v>
      </c>
      <c r="J33" s="741">
        <v>5897</v>
      </c>
      <c r="K33" s="741">
        <v>5054</v>
      </c>
      <c r="L33" s="741">
        <v>4954</v>
      </c>
      <c r="M33" s="741">
        <v>4854</v>
      </c>
      <c r="N33" s="741">
        <v>4729</v>
      </c>
      <c r="O33" s="741">
        <v>4579</v>
      </c>
      <c r="P33" s="741">
        <v>4504</v>
      </c>
      <c r="Q33" s="741">
        <v>4454</v>
      </c>
    </row>
    <row r="34" spans="1:18" ht="13.5">
      <c r="A34" s="775" t="s">
        <v>471</v>
      </c>
      <c r="B34" s="729">
        <v>435.47807332854063</v>
      </c>
      <c r="C34" s="729">
        <v>433.93421297156664</v>
      </c>
      <c r="D34" s="729">
        <v>416.22985827994563</v>
      </c>
      <c r="E34" s="729">
        <v>439.8244880902633</v>
      </c>
      <c r="F34" s="729">
        <v>320.07429190527785</v>
      </c>
      <c r="G34" s="729">
        <v>298.9165073295092</v>
      </c>
      <c r="H34" s="729">
        <v>300.32894736842104</v>
      </c>
      <c r="I34" s="729">
        <v>278.8206388206388</v>
      </c>
      <c r="J34" s="729">
        <v>294.9804985585891</v>
      </c>
      <c r="K34" s="729">
        <v>351.8005540166205</v>
      </c>
      <c r="L34" s="729">
        <v>363.3427533306419</v>
      </c>
      <c r="M34" s="729">
        <v>375.97857437165226</v>
      </c>
      <c r="N34" s="729">
        <v>401.9877352505815</v>
      </c>
      <c r="O34" s="729">
        <v>433.50076435903037</v>
      </c>
      <c r="P34" s="729">
        <v>459.8134991119005</v>
      </c>
      <c r="Q34" s="729">
        <v>484.2837898518186</v>
      </c>
      <c r="R34" s="753"/>
    </row>
    <row r="35" spans="1:17" ht="13.5">
      <c r="A35" s="762" t="s">
        <v>472</v>
      </c>
      <c r="B35" s="729">
        <v>33283</v>
      </c>
      <c r="C35" s="729">
        <v>33758</v>
      </c>
      <c r="D35" s="729">
        <v>31360</v>
      </c>
      <c r="E35" s="729">
        <v>30115</v>
      </c>
      <c r="F35" s="729">
        <v>29308</v>
      </c>
      <c r="G35" s="729">
        <v>26523</v>
      </c>
      <c r="H35" s="733">
        <v>26071</v>
      </c>
      <c r="I35" s="733">
        <v>24627.2</v>
      </c>
      <c r="J35" s="733">
        <v>25000</v>
      </c>
      <c r="K35" s="733">
        <v>25270</v>
      </c>
      <c r="L35" s="733">
        <v>25270</v>
      </c>
      <c r="M35" s="733">
        <v>25290</v>
      </c>
      <c r="N35" s="733">
        <v>26040</v>
      </c>
      <c r="O35" s="733">
        <v>26870</v>
      </c>
      <c r="P35" s="733">
        <v>27700</v>
      </c>
      <c r="Q35" s="733">
        <v>28530</v>
      </c>
    </row>
    <row r="36" spans="1:17" ht="14.25" thickBot="1">
      <c r="A36" s="776" t="s">
        <v>473</v>
      </c>
      <c r="B36" s="742">
        <v>2423</v>
      </c>
      <c r="C36" s="742">
        <v>2335</v>
      </c>
      <c r="D36" s="742">
        <v>2144</v>
      </c>
      <c r="E36" s="742">
        <v>2105</v>
      </c>
      <c r="F36" s="742">
        <v>2068</v>
      </c>
      <c r="G36" s="742">
        <v>1876</v>
      </c>
      <c r="H36" s="743">
        <v>1826</v>
      </c>
      <c r="I36" s="743">
        <v>1702.2</v>
      </c>
      <c r="J36" s="743">
        <v>1739.5</v>
      </c>
      <c r="K36" s="743">
        <v>1778</v>
      </c>
      <c r="L36" s="743">
        <v>1800</v>
      </c>
      <c r="M36" s="743">
        <v>1825</v>
      </c>
      <c r="N36" s="743">
        <v>1901</v>
      </c>
      <c r="O36" s="743">
        <v>1985</v>
      </c>
      <c r="P36" s="743">
        <v>2071</v>
      </c>
      <c r="Q36" s="743">
        <v>2157</v>
      </c>
    </row>
    <row r="37" spans="1:10" ht="14.25" thickTop="1">
      <c r="A37" s="773" t="s">
        <v>567</v>
      </c>
      <c r="J37" s="665"/>
    </row>
    <row r="38" spans="1:17" ht="13.5">
      <c r="A38" s="773" t="s">
        <v>474</v>
      </c>
      <c r="B38" s="739"/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</row>
    <row r="39" spans="1:17" ht="13.5">
      <c r="A39" s="775" t="s">
        <v>475</v>
      </c>
      <c r="B39" s="744">
        <v>-0.0028653295128939827</v>
      </c>
      <c r="C39" s="744">
        <v>-0.015259659039498406</v>
      </c>
      <c r="D39" s="744">
        <v>-0.05572303802392298</v>
      </c>
      <c r="E39" s="744">
        <v>-0.1597502117282124</v>
      </c>
      <c r="F39" s="744">
        <v>0.010883940379597527</v>
      </c>
      <c r="G39" s="744">
        <v>0.017199095118290028</v>
      </c>
      <c r="H39" s="744">
        <v>-0.14785936378856732</v>
      </c>
      <c r="I39" s="744">
        <v>-0.20043324143363528</v>
      </c>
      <c r="J39" s="744">
        <v>0.009231841142658074</v>
      </c>
      <c r="K39" s="744">
        <v>0.08553167651252801</v>
      </c>
      <c r="L39" s="744">
        <v>0.05228636148657058</v>
      </c>
      <c r="M39" s="744">
        <v>0.07608892538430885</v>
      </c>
      <c r="N39" s="744">
        <v>0.07160867372667676</v>
      </c>
      <c r="O39" s="744">
        <v>0.058917422227048155</v>
      </c>
      <c r="P39" s="744">
        <v>0.049609459640723504</v>
      </c>
      <c r="Q39" s="744">
        <v>0.051990902080221786</v>
      </c>
    </row>
    <row r="40" spans="1:17" ht="13.5">
      <c r="A40" s="775" t="s">
        <v>476</v>
      </c>
      <c r="B40" s="744">
        <v>-0.024461330280004162</v>
      </c>
      <c r="C40" s="744">
        <v>-0.08895679241511266</v>
      </c>
      <c r="D40" s="744">
        <v>-0.5706368449700628</v>
      </c>
      <c r="E40" s="744">
        <v>-3.4169244365885993</v>
      </c>
      <c r="F40" s="744">
        <v>0.000685053777837283</v>
      </c>
      <c r="G40" s="744">
        <v>0.02029675946603146</v>
      </c>
      <c r="H40" s="744">
        <v>-0.008155316170653034</v>
      </c>
      <c r="I40" s="744">
        <v>-0.11040789848422518</v>
      </c>
      <c r="J40" s="744">
        <v>-0.012556487074540115</v>
      </c>
      <c r="K40" s="744">
        <v>0.008486332109343126</v>
      </c>
      <c r="L40" s="744">
        <v>0.008469345643527835</v>
      </c>
      <c r="M40" s="745">
        <v>0.01053864168618267</v>
      </c>
      <c r="N40" s="744">
        <v>0.00926805419751362</v>
      </c>
      <c r="O40" s="744">
        <v>0.012056781339748994</v>
      </c>
      <c r="P40" s="744">
        <v>0.012255810973923949</v>
      </c>
      <c r="Q40" s="744">
        <v>0.015275569687334394</v>
      </c>
    </row>
    <row r="41" spans="1:17" ht="13.5">
      <c r="A41" s="775" t="s">
        <v>477</v>
      </c>
      <c r="B41" s="744">
        <v>-0.01800352409407799</v>
      </c>
      <c r="C41" s="744">
        <v>-0.08101219734207173</v>
      </c>
      <c r="D41" s="744">
        <v>-0.4431805080511894</v>
      </c>
      <c r="E41" s="744">
        <v>-0.5141289893617021</v>
      </c>
      <c r="F41" s="744">
        <v>0.0006132689833718208</v>
      </c>
      <c r="G41" s="744">
        <v>0.012078881891275296</v>
      </c>
      <c r="H41" s="745">
        <v>-0.002821400533599632</v>
      </c>
      <c r="I41" s="744">
        <v>-0.027822633700553823</v>
      </c>
      <c r="J41" s="744">
        <v>-0.007784220740786157</v>
      </c>
      <c r="K41" s="744">
        <v>0.004990228922389726</v>
      </c>
      <c r="L41" s="744">
        <v>0.004921320416370447</v>
      </c>
      <c r="M41" s="745">
        <v>0.005576513658869245</v>
      </c>
      <c r="N41" s="745">
        <v>0.004648327898024023</v>
      </c>
      <c r="O41" s="745">
        <v>0.005851308893557073</v>
      </c>
      <c r="P41" s="745">
        <v>0.0058924892241204625</v>
      </c>
      <c r="Q41" s="745">
        <v>0.007366682533039859</v>
      </c>
    </row>
    <row r="42" spans="1:17" ht="13.5">
      <c r="A42" s="775" t="s">
        <v>478</v>
      </c>
      <c r="B42" s="744">
        <v>8.575729620932574</v>
      </c>
      <c r="C42" s="744">
        <v>4.7215860579579125</v>
      </c>
      <c r="D42" s="744">
        <v>5.173185762797132</v>
      </c>
      <c r="E42" s="744">
        <v>1.6703823013072898</v>
      </c>
      <c r="F42" s="744">
        <v>0.22908307813242063</v>
      </c>
      <c r="G42" s="744">
        <v>0.21133834062384108</v>
      </c>
      <c r="H42" s="744">
        <v>0.21345681596561003</v>
      </c>
      <c r="I42" s="744">
        <v>0.2215512953639148</v>
      </c>
      <c r="J42" s="744">
        <v>0.15075698659744877</v>
      </c>
      <c r="K42" s="744">
        <v>0.1629425249203896</v>
      </c>
      <c r="L42" s="744">
        <v>0.1747335914053325</v>
      </c>
      <c r="M42" s="744">
        <v>0.19070812866022308</v>
      </c>
      <c r="N42" s="744">
        <v>0.15571565990694752</v>
      </c>
      <c r="O42" s="744">
        <v>0.15273739848050377</v>
      </c>
      <c r="P42" s="744">
        <v>0.15703707304426728</v>
      </c>
      <c r="Q42" s="744">
        <v>0.17126850138180433</v>
      </c>
    </row>
    <row r="43" spans="1:17" ht="13.5">
      <c r="A43" s="775" t="s">
        <v>479</v>
      </c>
      <c r="B43" s="744">
        <v>8.734688647817546</v>
      </c>
      <c r="C43" s="744">
        <v>4.765892141443864</v>
      </c>
      <c r="D43" s="744">
        <v>5.19947413662335</v>
      </c>
      <c r="E43" s="744">
        <v>1.6728914531519383</v>
      </c>
      <c r="F43" s="744">
        <v>0.22923183124499424</v>
      </c>
      <c r="G43" s="744">
        <v>0.21146211484468605</v>
      </c>
      <c r="H43" s="744">
        <v>0.21359694496596293</v>
      </c>
      <c r="I43" s="744">
        <v>0.23107516541123008</v>
      </c>
      <c r="J43" s="744">
        <v>0.15473591458041777</v>
      </c>
      <c r="K43" s="744">
        <v>0.1672056115552055</v>
      </c>
      <c r="L43" s="744">
        <v>0.17935576043038595</v>
      </c>
      <c r="M43" s="744">
        <v>0.19585449092874255</v>
      </c>
      <c r="N43" s="744">
        <v>0.15868067995613422</v>
      </c>
      <c r="O43" s="744">
        <v>0.15519022366467655</v>
      </c>
      <c r="P43" s="744">
        <v>0.15925366021985968</v>
      </c>
      <c r="Q43" s="744">
        <v>0.1734873772399112</v>
      </c>
    </row>
    <row r="44" spans="1:17" ht="13.5">
      <c r="A44" s="773" t="s">
        <v>468</v>
      </c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</row>
    <row r="45" spans="1:17" ht="13.5">
      <c r="A45" s="775" t="s">
        <v>480</v>
      </c>
      <c r="B45" s="744">
        <v>2.0096804413448526</v>
      </c>
      <c r="C45" s="744">
        <v>0.8620955535882572</v>
      </c>
      <c r="D45" s="744">
        <v>1.6199218170122223</v>
      </c>
      <c r="E45" s="744">
        <v>19.311754308440122</v>
      </c>
      <c r="F45" s="744">
        <v>0.11413174454411568</v>
      </c>
      <c r="G45" s="744">
        <v>0.9774246108547135</v>
      </c>
      <c r="H45" s="744">
        <v>2.481241903370806</v>
      </c>
      <c r="I45" s="744">
        <v>3.887661782854973</v>
      </c>
      <c r="J45" s="744">
        <v>0.7510308415623146</v>
      </c>
      <c r="K45" s="744">
        <v>0.6683320351619005</v>
      </c>
      <c r="L45" s="744">
        <v>0.6113633126499666</v>
      </c>
      <c r="M45" s="744">
        <v>0.5315588050494088</v>
      </c>
      <c r="N45" s="744">
        <v>0.4849804441961168</v>
      </c>
      <c r="O45" s="744">
        <v>0.39822335547284654</v>
      </c>
      <c r="P45" s="744">
        <v>0.3298010074377769</v>
      </c>
      <c r="Q45" s="744">
        <v>0.13139904610492845</v>
      </c>
    </row>
    <row r="46" spans="1:17" ht="13.5">
      <c r="A46" s="775" t="s">
        <v>481</v>
      </c>
      <c r="B46" s="744">
        <v>0.6241150800064652</v>
      </c>
      <c r="C46" s="744">
        <v>0.44845873876550546</v>
      </c>
      <c r="D46" s="744">
        <v>0.5901110390078592</v>
      </c>
      <c r="E46" s="744">
        <v>0.9247249259415996</v>
      </c>
      <c r="F46" s="744">
        <v>0.09392767420335846</v>
      </c>
      <c r="G46" s="744">
        <v>0.4376088916702617</v>
      </c>
      <c r="H46" s="744">
        <v>0.6054733081287048</v>
      </c>
      <c r="I46" s="744">
        <v>0.6101787514713843</v>
      </c>
      <c r="J46" s="744">
        <v>0.35768051144834884</v>
      </c>
      <c r="K46" s="744">
        <v>0.3035938131823696</v>
      </c>
      <c r="L46" s="744">
        <v>0.26279904738131904</v>
      </c>
      <c r="M46" s="744">
        <v>0.21999057368995714</v>
      </c>
      <c r="N46" s="744">
        <v>0.19598819659360803</v>
      </c>
      <c r="O46" s="744">
        <v>0.16219362565483395</v>
      </c>
      <c r="P46" s="744">
        <v>0.1370216282848658</v>
      </c>
      <c r="Q46" s="744">
        <v>0.0596470970302746</v>
      </c>
    </row>
    <row r="47" spans="1:17" ht="13.5">
      <c r="A47" s="773" t="s">
        <v>482</v>
      </c>
      <c r="B47" s="739"/>
      <c r="C47" s="739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</row>
    <row r="48" spans="1:17" ht="13.5">
      <c r="A48" s="775" t="s">
        <v>483</v>
      </c>
      <c r="B48" s="744">
        <v>1.0631361145285763</v>
      </c>
      <c r="C48" s="744">
        <v>0.9525013858093127</v>
      </c>
      <c r="D48" s="744">
        <v>0.5337294177558989</v>
      </c>
      <c r="E48" s="744">
        <v>0.5563159528243327</v>
      </c>
      <c r="F48" s="744">
        <v>1.2751934456076468</v>
      </c>
      <c r="G48" s="744">
        <v>0.6913778668181683</v>
      </c>
      <c r="H48" s="744">
        <v>0.57195462717604</v>
      </c>
      <c r="I48" s="744">
        <v>0.2156799687361338</v>
      </c>
      <c r="J48" s="744">
        <v>0.3990135847050915</v>
      </c>
      <c r="K48" s="744">
        <v>0.8256680293873682</v>
      </c>
      <c r="L48" s="744">
        <v>1.068741478952258</v>
      </c>
      <c r="M48" s="744">
        <v>1.6451249779610215</v>
      </c>
      <c r="N48" s="744">
        <v>1.0772170198545596</v>
      </c>
      <c r="O48" s="744">
        <v>0.984978727099071</v>
      </c>
      <c r="P48" s="744">
        <v>0.9971853638922397</v>
      </c>
      <c r="Q48" s="744">
        <v>1.7152624839948785</v>
      </c>
    </row>
    <row r="49" spans="1:17" ht="13.5">
      <c r="A49" s="775" t="s">
        <v>484</v>
      </c>
      <c r="B49" s="744">
        <v>0.8042724527457779</v>
      </c>
      <c r="C49" s="744">
        <v>0.7805224501108647</v>
      </c>
      <c r="D49" s="744">
        <v>0.3728399253097946</v>
      </c>
      <c r="E49" s="744">
        <v>0.4834574798261949</v>
      </c>
      <c r="F49" s="744">
        <v>0.9043695949021393</v>
      </c>
      <c r="G49" s="744">
        <v>0.5250351344077984</v>
      </c>
      <c r="H49" s="744">
        <v>0.3956258980338924</v>
      </c>
      <c r="I49" s="744">
        <v>0.126602374914004</v>
      </c>
      <c r="J49" s="744">
        <v>0.22797761415685722</v>
      </c>
      <c r="K49" s="744">
        <v>0.6636079511790497</v>
      </c>
      <c r="L49" s="744">
        <v>0.9367361220033059</v>
      </c>
      <c r="M49" s="744">
        <v>1.4967382311854935</v>
      </c>
      <c r="N49" s="744">
        <v>0.9000879034660119</v>
      </c>
      <c r="O49" s="744">
        <v>0.7559086567682556</v>
      </c>
      <c r="P49" s="744">
        <v>0.7169383357561886</v>
      </c>
      <c r="Q49" s="744">
        <v>0.9986939820742637</v>
      </c>
    </row>
    <row r="50" spans="1:17" ht="13.5">
      <c r="A50" s="777" t="s">
        <v>485</v>
      </c>
      <c r="B50" s="746">
        <v>0.09534727659098535</v>
      </c>
      <c r="C50" s="746">
        <v>0.02144539911308204</v>
      </c>
      <c r="D50" s="746">
        <v>0.013546087251739941</v>
      </c>
      <c r="E50" s="746">
        <v>0.17908131595282434</v>
      </c>
      <c r="F50" s="746">
        <v>0.2693218024578971</v>
      </c>
      <c r="G50" s="746">
        <v>0.17320515503991868</v>
      </c>
      <c r="H50" s="746">
        <v>0.08369134349480495</v>
      </c>
      <c r="I50" s="746">
        <v>0.04254702756799821</v>
      </c>
      <c r="J50" s="746">
        <v>0.03539995935531273</v>
      </c>
      <c r="K50" s="746">
        <v>0.022470079393293044</v>
      </c>
      <c r="L50" s="746">
        <v>0.03444614697827057</v>
      </c>
      <c r="M50" s="746">
        <v>0.055260195570504385</v>
      </c>
      <c r="N50" s="746">
        <v>0.09683184284894407</v>
      </c>
      <c r="O50" s="746">
        <v>0.1605365980724147</v>
      </c>
      <c r="P50" s="746">
        <v>0.24712092625240997</v>
      </c>
      <c r="Q50" s="746">
        <v>0.395134443021767</v>
      </c>
    </row>
    <row r="51" spans="1:17" ht="13.5">
      <c r="A51" s="778" t="s">
        <v>568</v>
      </c>
      <c r="B51" s="747"/>
      <c r="C51" s="747"/>
      <c r="D51" s="747"/>
      <c r="E51" s="747"/>
      <c r="F51" s="747"/>
      <c r="G51" s="747"/>
      <c r="H51" s="747"/>
      <c r="I51" s="747"/>
      <c r="K51" s="747"/>
      <c r="L51" s="747"/>
      <c r="M51" s="747"/>
      <c r="N51" s="747"/>
      <c r="O51" s="747"/>
      <c r="P51" s="747"/>
      <c r="Q51" s="747"/>
    </row>
    <row r="52" spans="1:17" ht="28.5" customHeight="1">
      <c r="A52" s="774" t="s">
        <v>571</v>
      </c>
      <c r="B52" s="748"/>
      <c r="C52" s="748"/>
      <c r="D52" s="748"/>
      <c r="E52" s="748"/>
      <c r="F52" s="749">
        <v>846.5705705705706</v>
      </c>
      <c r="G52" s="749">
        <v>925.1678321678322</v>
      </c>
      <c r="H52" s="749">
        <v>886.7832167832167</v>
      </c>
      <c r="I52" s="749">
        <v>865.3881118881119</v>
      </c>
      <c r="J52" s="749">
        <v>1218.3397129186603</v>
      </c>
      <c r="K52" s="749">
        <v>1228.298076923077</v>
      </c>
      <c r="L52" s="749">
        <v>1244.0961538461538</v>
      </c>
      <c r="M52" s="749">
        <v>1271.7740384615386</v>
      </c>
      <c r="N52" s="749">
        <v>1299.4444444444443</v>
      </c>
      <c r="O52" s="749">
        <v>1243.3590909090908</v>
      </c>
      <c r="P52" s="749">
        <v>1243.3122171945702</v>
      </c>
      <c r="Q52" s="749">
        <v>1270.1659192825111</v>
      </c>
    </row>
    <row r="53" spans="1:17" ht="13.5">
      <c r="A53" s="775" t="s">
        <v>572</v>
      </c>
      <c r="B53" s="747"/>
      <c r="C53" s="747"/>
      <c r="D53" s="747"/>
      <c r="E53" s="747"/>
      <c r="F53" s="750">
        <v>368.9895287958115</v>
      </c>
      <c r="G53" s="750">
        <v>346.3324607329843</v>
      </c>
      <c r="H53" s="750">
        <v>319.42065491183877</v>
      </c>
      <c r="I53" s="750">
        <v>322.6870925684485</v>
      </c>
      <c r="J53" s="750">
        <v>381.7586206896552</v>
      </c>
      <c r="K53" s="750">
        <v>420.20723684210526</v>
      </c>
      <c r="L53" s="750">
        <v>463.7491039426523</v>
      </c>
      <c r="M53" s="750">
        <v>520.7263779527559</v>
      </c>
      <c r="N53" s="750">
        <v>587.3034934497816</v>
      </c>
      <c r="O53" s="750">
        <v>639.1098130841121</v>
      </c>
      <c r="P53" s="750">
        <v>673.4607843137255</v>
      </c>
      <c r="Q53" s="750">
        <v>694.2328431372549</v>
      </c>
    </row>
    <row r="54" spans="1:18" ht="14.25" thickBot="1">
      <c r="A54" s="779" t="s">
        <v>573</v>
      </c>
      <c r="B54" s="751">
        <v>18.259884974838247</v>
      </c>
      <c r="C54" s="751">
        <v>34.91562906522951</v>
      </c>
      <c r="D54" s="751">
        <v>39.92622791690934</v>
      </c>
      <c r="E54" s="751">
        <v>53.90785624738822</v>
      </c>
      <c r="F54" s="751">
        <v>43.632255068874784</v>
      </c>
      <c r="G54" s="751">
        <v>42.16029318036966</v>
      </c>
      <c r="H54" s="751">
        <v>41.713815789473685</v>
      </c>
      <c r="I54" s="751">
        <v>40.54070434070434</v>
      </c>
      <c r="J54" s="751">
        <v>43.180091571985756</v>
      </c>
      <c r="K54" s="751">
        <v>50.551246537396125</v>
      </c>
      <c r="L54" s="751">
        <v>52.23496164715382</v>
      </c>
      <c r="M54" s="751">
        <v>54.49711578079934</v>
      </c>
      <c r="N54" s="751">
        <v>56.87989004017763</v>
      </c>
      <c r="O54" s="751">
        <v>59.737715658440706</v>
      </c>
      <c r="P54" s="751">
        <v>61.00621669626998</v>
      </c>
      <c r="Q54" s="751">
        <v>63.593848226313426</v>
      </c>
      <c r="R54" s="753"/>
    </row>
    <row r="55" spans="1:8" ht="14.25" thickTop="1">
      <c r="A55" s="775"/>
      <c r="H55" s="752"/>
    </row>
    <row r="56" spans="11:17" ht="13.5">
      <c r="K56" s="747"/>
      <c r="L56" s="747"/>
      <c r="M56" s="747"/>
      <c r="N56" s="747"/>
      <c r="O56" s="747"/>
      <c r="P56" s="747"/>
      <c r="Q56" s="747"/>
    </row>
    <row r="57" spans="11:17" ht="13.5">
      <c r="K57" s="747"/>
      <c r="L57" s="747"/>
      <c r="M57" s="747"/>
      <c r="N57" s="747"/>
      <c r="O57" s="747"/>
      <c r="P57" s="747"/>
      <c r="Q57" s="747"/>
    </row>
    <row r="58" spans="2:9" ht="13.5">
      <c r="B58" s="750"/>
      <c r="C58" s="750"/>
      <c r="D58" s="750"/>
      <c r="E58" s="750"/>
      <c r="F58" s="753"/>
      <c r="H58" s="754"/>
      <c r="I58" s="753"/>
    </row>
    <row r="59" spans="2:10" ht="13.5">
      <c r="B59" s="744"/>
      <c r="C59" s="744"/>
      <c r="D59" s="744"/>
      <c r="E59" s="744"/>
      <c r="J59" s="780"/>
    </row>
    <row r="60" spans="2:5" ht="13.5">
      <c r="B60" s="744"/>
      <c r="C60" s="744"/>
      <c r="D60" s="744"/>
      <c r="E60" s="74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R58" sqref="R58"/>
    </sheetView>
  </sheetViews>
  <sheetFormatPr defaultColWidth="9.140625" defaultRowHeight="12.75" outlineLevelCol="1"/>
  <cols>
    <col min="1" max="1" width="49.140625" style="238" customWidth="1"/>
    <col min="2" max="8" width="9.140625" style="238" hidden="1" customWidth="1" outlineLevel="1"/>
    <col min="9" max="9" width="9.00390625" style="238" hidden="1" customWidth="1" outlineLevel="1"/>
    <col min="10" max="10" width="8.7109375" style="285" customWidth="1" collapsed="1"/>
    <col min="11" max="16384" width="9.140625" style="238" customWidth="1"/>
  </cols>
  <sheetData>
    <row r="1" spans="1:15" ht="21.75" customHeight="1">
      <c r="A1" s="234" t="s">
        <v>440</v>
      </c>
      <c r="B1" s="235"/>
      <c r="C1" s="235"/>
      <c r="D1" s="235"/>
      <c r="E1" s="235"/>
      <c r="F1" s="236"/>
      <c r="G1" s="235"/>
      <c r="H1" s="235"/>
      <c r="I1" s="235"/>
      <c r="J1" s="237"/>
      <c r="M1" s="784" t="s">
        <v>620</v>
      </c>
      <c r="N1" s="784"/>
      <c r="O1" s="784"/>
    </row>
    <row r="2" spans="1:10" ht="21">
      <c r="A2" s="234"/>
      <c r="B2" s="235"/>
      <c r="C2" s="235"/>
      <c r="D2" s="235"/>
      <c r="E2" s="235"/>
      <c r="F2" s="235"/>
      <c r="G2" s="235"/>
      <c r="H2" s="235"/>
      <c r="I2" s="364"/>
      <c r="J2" s="237"/>
    </row>
    <row r="3" spans="1:10" ht="14.25">
      <c r="A3" s="239" t="s">
        <v>441</v>
      </c>
      <c r="B3" s="235"/>
      <c r="C3" s="235"/>
      <c r="D3" s="235"/>
      <c r="E3" s="235"/>
      <c r="F3" s="363"/>
      <c r="G3" s="365"/>
      <c r="H3" s="363"/>
      <c r="I3" s="235"/>
      <c r="J3" s="237"/>
    </row>
    <row r="4" spans="1:10" ht="14.25">
      <c r="A4" s="239" t="s">
        <v>541</v>
      </c>
      <c r="B4" s="235"/>
      <c r="C4" s="235"/>
      <c r="D4" s="235"/>
      <c r="E4" s="235"/>
      <c r="F4" s="363"/>
      <c r="G4" s="441"/>
      <c r="H4" s="363"/>
      <c r="I4" s="364"/>
      <c r="J4" s="237"/>
    </row>
    <row r="5" spans="1:10" ht="16.5" customHeight="1">
      <c r="A5" s="240"/>
      <c r="B5" s="235"/>
      <c r="C5" s="235"/>
      <c r="D5" s="235"/>
      <c r="E5" s="235"/>
      <c r="F5" s="363"/>
      <c r="G5" s="364"/>
      <c r="H5" s="364"/>
      <c r="I5" s="235"/>
      <c r="J5" s="237"/>
    </row>
    <row r="6" spans="1:17" ht="13.5" customHeight="1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ht="13.5" customHeight="1">
      <c r="A7" s="243" t="s">
        <v>442</v>
      </c>
      <c r="B7" s="244">
        <v>2007</v>
      </c>
      <c r="C7" s="244">
        <v>2008</v>
      </c>
      <c r="D7" s="244">
        <v>2009</v>
      </c>
      <c r="E7" s="244">
        <v>2010</v>
      </c>
      <c r="F7" s="244">
        <v>2011</v>
      </c>
      <c r="G7" s="244">
        <v>2012</v>
      </c>
      <c r="H7" s="244">
        <v>2013</v>
      </c>
      <c r="I7" s="244">
        <v>2014</v>
      </c>
      <c r="J7" s="244">
        <v>2015</v>
      </c>
      <c r="K7" s="244">
        <v>2016</v>
      </c>
      <c r="L7" s="244">
        <v>2017</v>
      </c>
      <c r="M7" s="244">
        <v>2018</v>
      </c>
      <c r="N7" s="244">
        <v>2019</v>
      </c>
      <c r="O7" s="244">
        <v>2020</v>
      </c>
      <c r="P7" s="244">
        <v>2021</v>
      </c>
      <c r="Q7" s="244">
        <v>2022</v>
      </c>
    </row>
    <row r="8" spans="1:10" ht="13.5" customHeight="1">
      <c r="A8" s="245" t="s">
        <v>443</v>
      </c>
      <c r="B8" s="246"/>
      <c r="C8" s="247"/>
      <c r="D8" s="247"/>
      <c r="E8" s="247"/>
      <c r="F8" s="247"/>
      <c r="G8" s="247"/>
      <c r="H8" s="247"/>
      <c r="I8" s="248"/>
      <c r="J8" s="248"/>
    </row>
    <row r="9" spans="1:17" ht="13.5" customHeight="1">
      <c r="A9" s="249" t="s">
        <v>444</v>
      </c>
      <c r="B9" s="250">
        <f>B10+B11</f>
        <v>101598</v>
      </c>
      <c r="C9" s="250">
        <f aca="true" t="shared" si="0" ref="C9:H9">C10+C11</f>
        <v>187881</v>
      </c>
      <c r="D9" s="250">
        <f t="shared" si="0"/>
        <v>205660</v>
      </c>
      <c r="E9" s="250">
        <f t="shared" si="0"/>
        <v>258003</v>
      </c>
      <c r="F9" s="250">
        <f t="shared" si="0"/>
        <v>281908</v>
      </c>
      <c r="G9" s="250">
        <f t="shared" si="0"/>
        <v>264598</v>
      </c>
      <c r="H9" s="250">
        <f t="shared" si="0"/>
        <v>253620</v>
      </c>
      <c r="I9" s="250">
        <f aca="true" t="shared" si="1" ref="I9:O9">I10+I11</f>
        <v>247501</v>
      </c>
      <c r="J9" s="250">
        <f t="shared" si="1"/>
        <v>254633</v>
      </c>
      <c r="K9" s="250">
        <f t="shared" si="1"/>
        <v>255486</v>
      </c>
      <c r="L9" s="250">
        <f t="shared" si="1"/>
        <v>258772</v>
      </c>
      <c r="M9" s="250">
        <f t="shared" si="1"/>
        <v>264529</v>
      </c>
      <c r="N9" s="250">
        <f t="shared" si="1"/>
        <v>268985</v>
      </c>
      <c r="O9" s="250">
        <f t="shared" si="1"/>
        <v>273539</v>
      </c>
      <c r="P9" s="250">
        <f>P10+P11</f>
        <v>274772</v>
      </c>
      <c r="Q9" s="250">
        <f>Q10+Q11</f>
        <v>283247</v>
      </c>
    </row>
    <row r="10" spans="1:17" ht="13.5" customHeight="1">
      <c r="A10" s="251" t="s">
        <v>445</v>
      </c>
      <c r="B10" s="252">
        <v>101598</v>
      </c>
      <c r="C10" s="252">
        <v>187881</v>
      </c>
      <c r="D10" s="252">
        <v>205660</v>
      </c>
      <c r="E10" s="252">
        <v>98003</v>
      </c>
      <c r="F10" s="252">
        <v>111908</v>
      </c>
      <c r="G10" s="252">
        <f>OPR!G7+OPR!G13</f>
        <v>94598</v>
      </c>
      <c r="H10" s="252">
        <f>OPR!H7+OPR!H13</f>
        <v>83620</v>
      </c>
      <c r="I10" s="252">
        <f>OPR!I7+OPR!I13</f>
        <v>76170</v>
      </c>
      <c r="J10" s="252">
        <f>OPR!J7+OPR!J13</f>
        <v>74633</v>
      </c>
      <c r="K10" s="252">
        <f>OPR!K7+OPR!K13</f>
        <v>78544</v>
      </c>
      <c r="L10" s="252">
        <f>OPR!L7+OPR!L13</f>
        <v>80346</v>
      </c>
      <c r="M10" s="252">
        <f>OPR!M7+OPR!M13</f>
        <v>82811</v>
      </c>
      <c r="N10" s="252">
        <f>OPR!N7+OPR!N13</f>
        <v>87252</v>
      </c>
      <c r="O10" s="252">
        <f>OPR!O7+OPR!O13</f>
        <v>92095</v>
      </c>
      <c r="P10" s="252">
        <f>OPR!P7+OPR!P13</f>
        <v>96917</v>
      </c>
      <c r="Q10" s="252">
        <f>OPR!Q7+OPR!Q13</f>
        <v>102441</v>
      </c>
    </row>
    <row r="11" spans="1:17" ht="13.5" customHeight="1">
      <c r="A11" s="253" t="s">
        <v>446</v>
      </c>
      <c r="B11" s="252"/>
      <c r="C11" s="250"/>
      <c r="D11" s="250"/>
      <c r="E11" s="250">
        <v>160000</v>
      </c>
      <c r="F11" s="250">
        <v>170000</v>
      </c>
      <c r="G11" s="250">
        <f>OPR!G20</f>
        <v>170000</v>
      </c>
      <c r="H11" s="250">
        <f>OPR!H20</f>
        <v>170000</v>
      </c>
      <c r="I11" s="250">
        <f>OPR!I20</f>
        <v>171331</v>
      </c>
      <c r="J11" s="250">
        <f>OPR!J20</f>
        <v>180000</v>
      </c>
      <c r="K11" s="250">
        <f>OPR!K20</f>
        <v>176942</v>
      </c>
      <c r="L11" s="250">
        <f>OPR!L20</f>
        <v>178426</v>
      </c>
      <c r="M11" s="250">
        <f>OPR!M20</f>
        <v>181718</v>
      </c>
      <c r="N11" s="250">
        <f>OPR!N20</f>
        <v>181733</v>
      </c>
      <c r="O11" s="250">
        <f>OPR!O20</f>
        <v>181444</v>
      </c>
      <c r="P11" s="250">
        <f>OPR!P20</f>
        <v>177855</v>
      </c>
      <c r="Q11" s="250">
        <f>OPR!Q20</f>
        <v>180806</v>
      </c>
    </row>
    <row r="12" spans="1:17" ht="13.5" customHeight="1">
      <c r="A12" s="249" t="s">
        <v>447</v>
      </c>
      <c r="B12" s="252">
        <v>100891</v>
      </c>
      <c r="C12" s="252">
        <v>189468</v>
      </c>
      <c r="D12" s="252">
        <v>215998</v>
      </c>
      <c r="E12" s="252">
        <v>272393</v>
      </c>
      <c r="F12" s="252">
        <v>250482</v>
      </c>
      <c r="G12" s="252">
        <f>OPR!G23</f>
        <v>185779</v>
      </c>
      <c r="H12" s="252">
        <f>OPR!H23</f>
        <v>180789</v>
      </c>
      <c r="I12" s="252">
        <f>OPR!I23</f>
        <v>189626</v>
      </c>
      <c r="J12" s="252">
        <f>OPR!J23</f>
        <v>203536</v>
      </c>
      <c r="K12" s="252">
        <f>OPR!K23</f>
        <v>204789</v>
      </c>
      <c r="L12" s="252">
        <f>OPR!L23</f>
        <v>205490</v>
      </c>
      <c r="M12" s="252">
        <f>OPR!M23</f>
        <v>207922</v>
      </c>
      <c r="N12" s="252">
        <f>OPR!N23</f>
        <v>209595</v>
      </c>
      <c r="O12" s="252">
        <f>OPR!O23</f>
        <v>210287</v>
      </c>
      <c r="P12" s="252">
        <f>OPR!P23</f>
        <v>215643</v>
      </c>
      <c r="Q12" s="252">
        <f>OPR!Q23</f>
        <v>220543</v>
      </c>
    </row>
    <row r="13" spans="1:17" ht="13.5" customHeight="1">
      <c r="A13" s="254" t="s">
        <v>448</v>
      </c>
      <c r="B13" s="255">
        <f aca="true" t="shared" si="2" ref="B13:G13">+B9-B12</f>
        <v>707</v>
      </c>
      <c r="C13" s="255">
        <f t="shared" si="2"/>
        <v>-1587</v>
      </c>
      <c r="D13" s="255">
        <f t="shared" si="2"/>
        <v>-10338</v>
      </c>
      <c r="E13" s="255">
        <f t="shared" si="2"/>
        <v>-14390</v>
      </c>
      <c r="F13" s="255">
        <f t="shared" si="2"/>
        <v>31426</v>
      </c>
      <c r="G13" s="255">
        <f t="shared" si="2"/>
        <v>78819</v>
      </c>
      <c r="H13" s="255">
        <f>+H9-H12</f>
        <v>72831</v>
      </c>
      <c r="I13" s="255">
        <f aca="true" t="shared" si="3" ref="I13:O13">+I9-I12</f>
        <v>57875</v>
      </c>
      <c r="J13" s="255">
        <f t="shared" si="3"/>
        <v>51097</v>
      </c>
      <c r="K13" s="255">
        <f t="shared" si="3"/>
        <v>50697</v>
      </c>
      <c r="L13" s="255">
        <f t="shared" si="3"/>
        <v>53282</v>
      </c>
      <c r="M13" s="255">
        <f t="shared" si="3"/>
        <v>56607</v>
      </c>
      <c r="N13" s="255">
        <f t="shared" si="3"/>
        <v>59390</v>
      </c>
      <c r="O13" s="255">
        <f t="shared" si="3"/>
        <v>63252</v>
      </c>
      <c r="P13" s="255">
        <f>+P9-P12</f>
        <v>59129</v>
      </c>
      <c r="Q13" s="255">
        <f>+Q9-Q12</f>
        <v>62704</v>
      </c>
    </row>
    <row r="14" spans="1:17" ht="13.5" customHeight="1">
      <c r="A14" s="249" t="s">
        <v>449</v>
      </c>
      <c r="B14" s="250"/>
      <c r="C14" s="250"/>
      <c r="D14" s="250">
        <v>90</v>
      </c>
      <c r="E14" s="250">
        <v>86</v>
      </c>
      <c r="F14" s="250">
        <v>483</v>
      </c>
      <c r="G14" s="250">
        <f>OPR!G54</f>
        <v>714</v>
      </c>
      <c r="H14" s="250">
        <f>OPR!H54</f>
        <v>5248</v>
      </c>
      <c r="I14" s="250">
        <f>OPR!I54</f>
        <v>18082</v>
      </c>
      <c r="J14" s="250">
        <f>OPR!J54</f>
        <v>32103</v>
      </c>
      <c r="K14" s="250">
        <f>OPR!K54</f>
        <v>10948</v>
      </c>
      <c r="L14" s="250">
        <f>OPR!L54</f>
        <v>10949</v>
      </c>
      <c r="M14" s="250">
        <f>OPR!M54</f>
        <v>10951</v>
      </c>
      <c r="N14" s="250">
        <f>OPR!N54</f>
        <v>27451</v>
      </c>
      <c r="O14" s="250">
        <f>OPR!O54</f>
        <v>37949</v>
      </c>
      <c r="P14" s="250">
        <f>OPR!P54</f>
        <v>45952</v>
      </c>
      <c r="Q14" s="250">
        <f>OPR!Q54</f>
        <v>53949</v>
      </c>
    </row>
    <row r="15" spans="1:17" ht="13.5" customHeight="1">
      <c r="A15" s="249" t="s">
        <v>450</v>
      </c>
      <c r="B15" s="252">
        <v>942</v>
      </c>
      <c r="C15" s="252">
        <v>1528</v>
      </c>
      <c r="D15" s="252">
        <v>1284</v>
      </c>
      <c r="E15" s="252">
        <v>1161</v>
      </c>
      <c r="F15" s="252">
        <v>31602</v>
      </c>
      <c r="G15" s="252">
        <f>OPR!G55</f>
        <v>74625</v>
      </c>
      <c r="H15" s="252">
        <f>OPR!H55</f>
        <v>79017</v>
      </c>
      <c r="I15" s="252">
        <f>OPR!I55</f>
        <v>82935</v>
      </c>
      <c r="J15" s="252">
        <f>OPR!J55</f>
        <v>86501</v>
      </c>
      <c r="K15" s="252">
        <f>OPR!K55</f>
        <v>59357</v>
      </c>
      <c r="L15" s="252">
        <f>OPR!L55</f>
        <v>61912</v>
      </c>
      <c r="M15" s="252">
        <f>OPR!M55</f>
        <v>64606</v>
      </c>
      <c r="N15" s="252">
        <f>OPR!N55</f>
        <v>84187</v>
      </c>
      <c r="O15" s="252">
        <f>OPR!O55</f>
        <v>97683</v>
      </c>
      <c r="P15" s="252">
        <f>OPR!P55</f>
        <v>101446</v>
      </c>
      <c r="Q15" s="252">
        <f>OPR!Q55</f>
        <v>112041</v>
      </c>
    </row>
    <row r="16" spans="1:17" ht="13.5" customHeight="1">
      <c r="A16" s="256" t="s">
        <v>451</v>
      </c>
      <c r="B16" s="257"/>
      <c r="C16" s="258"/>
      <c r="D16" s="258">
        <f>D14</f>
        <v>90</v>
      </c>
      <c r="E16" s="258">
        <f>E14</f>
        <v>86</v>
      </c>
      <c r="F16" s="258">
        <f>F14</f>
        <v>483</v>
      </c>
      <c r="G16" s="258">
        <f>G14</f>
        <v>714</v>
      </c>
      <c r="H16" s="258">
        <f>H14</f>
        <v>5248</v>
      </c>
      <c r="I16" s="258">
        <f aca="true" t="shared" si="4" ref="I16:O16">I14</f>
        <v>18082</v>
      </c>
      <c r="J16" s="258">
        <f t="shared" si="4"/>
        <v>32103</v>
      </c>
      <c r="K16" s="258">
        <f t="shared" si="4"/>
        <v>10948</v>
      </c>
      <c r="L16" s="258">
        <f t="shared" si="4"/>
        <v>10949</v>
      </c>
      <c r="M16" s="258">
        <f t="shared" si="4"/>
        <v>10951</v>
      </c>
      <c r="N16" s="258">
        <f t="shared" si="4"/>
        <v>27451</v>
      </c>
      <c r="O16" s="258">
        <f t="shared" si="4"/>
        <v>37949</v>
      </c>
      <c r="P16" s="258">
        <f>P14</f>
        <v>45952</v>
      </c>
      <c r="Q16" s="258">
        <f>Q14</f>
        <v>53949</v>
      </c>
    </row>
    <row r="17" spans="1:17" ht="13.5" customHeight="1">
      <c r="A17" s="254" t="s">
        <v>452</v>
      </c>
      <c r="B17" s="255">
        <f aca="true" t="shared" si="5" ref="B17:H17">+B13+B14-B15</f>
        <v>-235</v>
      </c>
      <c r="C17" s="255">
        <f t="shared" si="5"/>
        <v>-3115</v>
      </c>
      <c r="D17" s="255">
        <f t="shared" si="5"/>
        <v>-11532</v>
      </c>
      <c r="E17" s="255">
        <f t="shared" si="5"/>
        <v>-15465</v>
      </c>
      <c r="F17" s="255">
        <f>+F13+F14-F15</f>
        <v>307</v>
      </c>
      <c r="G17" s="255">
        <f t="shared" si="5"/>
        <v>4908</v>
      </c>
      <c r="H17" s="255">
        <f t="shared" si="5"/>
        <v>-938</v>
      </c>
      <c r="I17" s="255">
        <f aca="true" t="shared" si="6" ref="I17:O17">+I13+I14-I15</f>
        <v>-6978</v>
      </c>
      <c r="J17" s="255">
        <f t="shared" si="6"/>
        <v>-3301</v>
      </c>
      <c r="K17" s="255">
        <f t="shared" si="6"/>
        <v>2288</v>
      </c>
      <c r="L17" s="255">
        <f t="shared" si="6"/>
        <v>2319</v>
      </c>
      <c r="M17" s="255">
        <f t="shared" si="6"/>
        <v>2952</v>
      </c>
      <c r="N17" s="255">
        <f t="shared" si="6"/>
        <v>2654</v>
      </c>
      <c r="O17" s="255">
        <f t="shared" si="6"/>
        <v>3518</v>
      </c>
      <c r="P17" s="255">
        <f>+P13+P14-P15</f>
        <v>3635</v>
      </c>
      <c r="Q17" s="255">
        <f>+Q13+Q14-Q15</f>
        <v>4612</v>
      </c>
    </row>
    <row r="18" spans="1:17" ht="13.5" customHeight="1">
      <c r="A18" s="259" t="s">
        <v>453</v>
      </c>
      <c r="B18" s="260">
        <f aca="true" t="shared" si="7" ref="B18:H18">+B19+B20</f>
        <v>11</v>
      </c>
      <c r="C18" s="260">
        <f t="shared" si="7"/>
        <v>108</v>
      </c>
      <c r="D18" s="260">
        <f t="shared" si="7"/>
        <v>15</v>
      </c>
      <c r="E18" s="260">
        <f t="shared" si="7"/>
        <v>12</v>
      </c>
      <c r="F18" s="260">
        <f t="shared" si="7"/>
        <v>30</v>
      </c>
      <c r="G18" s="260">
        <f t="shared" si="7"/>
        <v>7616</v>
      </c>
      <c r="H18" s="260">
        <f t="shared" si="7"/>
        <v>11</v>
      </c>
      <c r="I18" s="260">
        <f aca="true" t="shared" si="8" ref="I18:O18">+I19+I20</f>
        <v>839</v>
      </c>
      <c r="J18" s="260">
        <f t="shared" si="8"/>
        <v>3900</v>
      </c>
      <c r="K18" s="260">
        <f t="shared" si="8"/>
        <v>7029</v>
      </c>
      <c r="L18" s="260">
        <f t="shared" si="8"/>
        <v>4224</v>
      </c>
      <c r="M18" s="260">
        <f t="shared" si="8"/>
        <v>5435</v>
      </c>
      <c r="N18" s="260">
        <f t="shared" si="8"/>
        <v>5323</v>
      </c>
      <c r="O18" s="260">
        <f t="shared" si="8"/>
        <v>3480</v>
      </c>
      <c r="P18" s="260">
        <f>+P19+P20</f>
        <v>2489</v>
      </c>
      <c r="Q18" s="260">
        <f>+Q19+Q20</f>
        <v>1873</v>
      </c>
    </row>
    <row r="19" spans="1:17" ht="13.5" customHeight="1">
      <c r="A19" s="261" t="s">
        <v>454</v>
      </c>
      <c r="B19" s="262">
        <v>659</v>
      </c>
      <c r="C19" s="262">
        <v>142</v>
      </c>
      <c r="D19" s="262">
        <v>21</v>
      </c>
      <c r="E19" s="262">
        <v>29</v>
      </c>
      <c r="F19" s="262">
        <v>166</v>
      </c>
      <c r="G19" s="262">
        <f>OPR!G58</f>
        <v>16951</v>
      </c>
      <c r="H19" s="262">
        <f>OPR!H58</f>
        <v>1785</v>
      </c>
      <c r="I19" s="262">
        <f>OPR!I58</f>
        <v>916</v>
      </c>
      <c r="J19" s="262">
        <f>OPR!J58</f>
        <v>5655</v>
      </c>
      <c r="K19" s="262">
        <f>OPR!K58</f>
        <v>9147</v>
      </c>
      <c r="L19" s="262">
        <f>OPR!L58</f>
        <v>5700</v>
      </c>
      <c r="M19" s="262">
        <f>OPR!M58</f>
        <v>6210</v>
      </c>
      <c r="N19" s="262">
        <f>OPR!N58</f>
        <v>6269</v>
      </c>
      <c r="O19" s="262">
        <f>OPR!O58</f>
        <v>3935</v>
      </c>
      <c r="P19" s="262">
        <f>OPR!P58</f>
        <v>2874</v>
      </c>
      <c r="Q19" s="262">
        <f>OPR!Q58</f>
        <v>2048</v>
      </c>
    </row>
    <row r="20" spans="1:17" ht="13.5" customHeight="1">
      <c r="A20" s="261" t="s">
        <v>455</v>
      </c>
      <c r="B20" s="262">
        <v>-648</v>
      </c>
      <c r="C20" s="262">
        <v>-34</v>
      </c>
      <c r="D20" s="262">
        <v>-6</v>
      </c>
      <c r="E20" s="262">
        <v>-17</v>
      </c>
      <c r="F20" s="262">
        <v>-136</v>
      </c>
      <c r="G20" s="262">
        <f>OPR!G59</f>
        <v>-9335</v>
      </c>
      <c r="H20" s="262">
        <f>OPR!H59</f>
        <v>-1774</v>
      </c>
      <c r="I20" s="262">
        <f>OPR!I59</f>
        <v>-77</v>
      </c>
      <c r="J20" s="262">
        <f>OPR!J59</f>
        <v>-1755</v>
      </c>
      <c r="K20" s="262">
        <f>OPR!K59</f>
        <v>-2118</v>
      </c>
      <c r="L20" s="262">
        <f>OPR!L59</f>
        <v>-1476</v>
      </c>
      <c r="M20" s="262">
        <f>OPR!M59</f>
        <v>-775</v>
      </c>
      <c r="N20" s="262">
        <f>OPR!N59</f>
        <v>-946</v>
      </c>
      <c r="O20" s="262">
        <f>OPR!O59</f>
        <v>-455</v>
      </c>
      <c r="P20" s="262">
        <f>OPR!P59</f>
        <v>-385</v>
      </c>
      <c r="Q20" s="262">
        <f>OPR!Q59</f>
        <v>-175</v>
      </c>
    </row>
    <row r="21" spans="1:17" ht="13.5" customHeight="1">
      <c r="A21" s="261" t="s">
        <v>456</v>
      </c>
      <c r="B21" s="262"/>
      <c r="C21" s="262"/>
      <c r="D21" s="262"/>
      <c r="E21" s="262"/>
      <c r="F21" s="262"/>
      <c r="G21" s="262"/>
      <c r="H21" s="262">
        <f>OPR!H60</f>
        <v>7250</v>
      </c>
      <c r="I21" s="262">
        <f>OPR!I60</f>
        <v>0</v>
      </c>
      <c r="J21" s="262">
        <f>OPR!J60</f>
        <v>0</v>
      </c>
      <c r="K21" s="262">
        <f>OPR!K60</f>
        <v>0</v>
      </c>
      <c r="L21" s="262">
        <f>OPR!L60</f>
        <v>0</v>
      </c>
      <c r="M21" s="262">
        <f>OPR!M60</f>
        <v>0</v>
      </c>
      <c r="N21" s="262">
        <f>OPR!N60</f>
        <v>0</v>
      </c>
      <c r="O21" s="262">
        <f>OPR!O60</f>
        <v>0</v>
      </c>
      <c r="P21" s="262">
        <f>OPR!P60</f>
        <v>0</v>
      </c>
      <c r="Q21" s="262">
        <f>OPR!Q60</f>
        <v>0</v>
      </c>
    </row>
    <row r="22" spans="1:17" ht="13.5" customHeight="1">
      <c r="A22" s="249" t="s">
        <v>457</v>
      </c>
      <c r="B22" s="252">
        <v>-69</v>
      </c>
      <c r="C22" s="252">
        <v>-37</v>
      </c>
      <c r="D22" s="252">
        <v>-64</v>
      </c>
      <c r="E22" s="252">
        <v>-144</v>
      </c>
      <c r="F22" s="252">
        <v>-35</v>
      </c>
      <c r="G22" s="252">
        <f>OPR!G61-OPR!G62</f>
        <v>-11467</v>
      </c>
      <c r="H22" s="252">
        <f>OPR!H61-OPR!H62</f>
        <v>-12317</v>
      </c>
      <c r="I22" s="252">
        <f>OPR!I61-OPR!I62</f>
        <v>-4762</v>
      </c>
      <c r="J22" s="252">
        <f>OPR!J61-OPR!J62</f>
        <v>-3093</v>
      </c>
      <c r="K22" s="252">
        <f>OPR!K61-OPR!K62</f>
        <v>-2599</v>
      </c>
      <c r="L22" s="252">
        <f>OPR!L61-OPR!L62</f>
        <v>-2342</v>
      </c>
      <c r="M22" s="252">
        <f>OPR!M61-OPR!M62</f>
        <v>-2086</v>
      </c>
      <c r="N22" s="252">
        <f>OPR!N61-OPR!N62</f>
        <v>-1729</v>
      </c>
      <c r="O22" s="252">
        <f>OPR!O61-OPR!O62</f>
        <v>-1572</v>
      </c>
      <c r="P22" s="252">
        <f>OPR!P61-OPR!P62</f>
        <v>-1316</v>
      </c>
      <c r="Q22" s="252">
        <f>OPR!Q61-OPR!Q62</f>
        <v>-1159</v>
      </c>
    </row>
    <row r="23" spans="1:17" ht="13.5" customHeight="1">
      <c r="A23" s="254" t="s">
        <v>458</v>
      </c>
      <c r="B23" s="255">
        <f aca="true" t="shared" si="9" ref="B23:G23">+B17+B18+B22+B21</f>
        <v>-293</v>
      </c>
      <c r="C23" s="255">
        <f t="shared" si="9"/>
        <v>-3044</v>
      </c>
      <c r="D23" s="255">
        <f t="shared" si="9"/>
        <v>-11581</v>
      </c>
      <c r="E23" s="255">
        <f t="shared" si="9"/>
        <v>-15597</v>
      </c>
      <c r="F23" s="255">
        <f t="shared" si="9"/>
        <v>302</v>
      </c>
      <c r="G23" s="255">
        <f t="shared" si="9"/>
        <v>1057</v>
      </c>
      <c r="H23" s="255">
        <f>+H17+H18+H22+H21</f>
        <v>-5994</v>
      </c>
      <c r="I23" s="255">
        <f aca="true" t="shared" si="10" ref="I23:O23">+I17+I18+I22+I21</f>
        <v>-10901</v>
      </c>
      <c r="J23" s="255">
        <f t="shared" si="10"/>
        <v>-2494</v>
      </c>
      <c r="K23" s="255">
        <f t="shared" si="10"/>
        <v>6718</v>
      </c>
      <c r="L23" s="255">
        <f t="shared" si="10"/>
        <v>4201</v>
      </c>
      <c r="M23" s="255">
        <f t="shared" si="10"/>
        <v>6301</v>
      </c>
      <c r="N23" s="255">
        <f t="shared" si="10"/>
        <v>6248</v>
      </c>
      <c r="O23" s="255">
        <f t="shared" si="10"/>
        <v>5426</v>
      </c>
      <c r="P23" s="255">
        <f>+P17+P18+P22+P21</f>
        <v>4808</v>
      </c>
      <c r="Q23" s="255">
        <f>+Q17+Q18+Q22+Q21</f>
        <v>5326</v>
      </c>
    </row>
    <row r="24" spans="1:17" ht="13.5" customHeight="1">
      <c r="A24" s="249" t="s">
        <v>459</v>
      </c>
      <c r="B24" s="252">
        <v>0</v>
      </c>
      <c r="C24" s="250">
        <v>-177</v>
      </c>
      <c r="D24" s="250">
        <v>-121</v>
      </c>
      <c r="E24" s="250">
        <v>59</v>
      </c>
      <c r="F24" s="250">
        <v>-916</v>
      </c>
      <c r="G24" s="250">
        <f>OPR!G65</f>
        <v>-570</v>
      </c>
      <c r="H24" s="250">
        <f>OPR!H65</f>
        <v>6509</v>
      </c>
      <c r="I24" s="250">
        <f>OPR!I65</f>
        <v>4366</v>
      </c>
      <c r="J24" s="250">
        <f>OPR!J65</f>
        <v>0</v>
      </c>
      <c r="K24" s="250">
        <f>OPR!K65</f>
        <v>0</v>
      </c>
      <c r="L24" s="250">
        <f>OPR!L65</f>
        <v>0</v>
      </c>
      <c r="M24" s="250">
        <f>OPR!M65</f>
        <v>0</v>
      </c>
      <c r="N24" s="250">
        <f>OPR!N65</f>
        <v>0</v>
      </c>
      <c r="O24" s="250">
        <f>OPR!O65</f>
        <v>0</v>
      </c>
      <c r="P24" s="250">
        <f>OPR!P65</f>
        <v>0</v>
      </c>
      <c r="Q24" s="250">
        <f>OPR!Q65</f>
        <v>0</v>
      </c>
    </row>
    <row r="25" spans="1:17" ht="26.25" customHeight="1">
      <c r="A25" s="394" t="s">
        <v>460</v>
      </c>
      <c r="B25" s="260"/>
      <c r="C25" s="260"/>
      <c r="D25" s="260"/>
      <c r="E25" s="260"/>
      <c r="F25" s="260"/>
      <c r="G25" s="260"/>
      <c r="H25" s="260">
        <f>+H26+H27</f>
        <v>139</v>
      </c>
      <c r="I25" s="260">
        <f aca="true" t="shared" si="11" ref="I25:O25">+I26+I27</f>
        <v>0</v>
      </c>
      <c r="J25" s="260">
        <f t="shared" si="11"/>
        <v>3183</v>
      </c>
      <c r="K25" s="260">
        <f t="shared" si="11"/>
        <v>0</v>
      </c>
      <c r="L25" s="260">
        <f t="shared" si="11"/>
        <v>0</v>
      </c>
      <c r="M25" s="260">
        <f t="shared" si="11"/>
        <v>0</v>
      </c>
      <c r="N25" s="260">
        <f t="shared" si="11"/>
        <v>0</v>
      </c>
      <c r="O25" s="260">
        <f t="shared" si="11"/>
        <v>0</v>
      </c>
      <c r="P25" s="260">
        <f>+P26+P27</f>
        <v>0</v>
      </c>
      <c r="Q25" s="260">
        <f>+Q26+Q27</f>
        <v>0</v>
      </c>
    </row>
    <row r="26" spans="1:17" ht="26.25" customHeight="1">
      <c r="A26" s="395" t="s">
        <v>461</v>
      </c>
      <c r="B26" s="262"/>
      <c r="C26" s="262"/>
      <c r="D26" s="262"/>
      <c r="E26" s="262"/>
      <c r="F26" s="262"/>
      <c r="G26" s="262"/>
      <c r="H26" s="262">
        <f>OPR!H66</f>
        <v>143</v>
      </c>
      <c r="I26" s="262">
        <f>OPR!I66</f>
        <v>0</v>
      </c>
      <c r="J26" s="262">
        <f>OPR!J66</f>
        <v>3200</v>
      </c>
      <c r="K26" s="262">
        <f>OPR!K66</f>
        <v>0</v>
      </c>
      <c r="L26" s="262">
        <f>OPR!L66</f>
        <v>0</v>
      </c>
      <c r="M26" s="262">
        <f>OPR!M66</f>
        <v>0</v>
      </c>
      <c r="N26" s="262">
        <f>OPR!N66</f>
        <v>0</v>
      </c>
      <c r="O26" s="262">
        <f>OPR!O66</f>
        <v>0</v>
      </c>
      <c r="P26" s="262">
        <f>OPR!P66</f>
        <v>0</v>
      </c>
      <c r="Q26" s="262">
        <f>OPR!Q66</f>
        <v>0</v>
      </c>
    </row>
    <row r="27" spans="1:17" ht="25.5" customHeight="1">
      <c r="A27" s="395" t="s">
        <v>462</v>
      </c>
      <c r="B27" s="262"/>
      <c r="C27" s="262"/>
      <c r="D27" s="262"/>
      <c r="E27" s="262"/>
      <c r="F27" s="262"/>
      <c r="G27" s="262"/>
      <c r="H27" s="262">
        <f>OPR!H67</f>
        <v>-4</v>
      </c>
      <c r="I27" s="262">
        <f>OPR!I67</f>
        <v>0</v>
      </c>
      <c r="J27" s="262">
        <f>OPR!J67</f>
        <v>-17</v>
      </c>
      <c r="K27" s="262">
        <f>OPR!K67</f>
        <v>0</v>
      </c>
      <c r="L27" s="262">
        <f>OPR!L67</f>
        <v>0</v>
      </c>
      <c r="M27" s="262">
        <f>OPR!M67</f>
        <v>0</v>
      </c>
      <c r="N27" s="262">
        <f>OPR!N67</f>
        <v>0</v>
      </c>
      <c r="O27" s="262">
        <f>OPR!O67</f>
        <v>0</v>
      </c>
      <c r="P27" s="262">
        <f>OPR!P67</f>
        <v>0</v>
      </c>
      <c r="Q27" s="262">
        <f>OPR!Q67</f>
        <v>0</v>
      </c>
    </row>
    <row r="28" spans="1:17" ht="13.5" customHeight="1">
      <c r="A28" s="254" t="s">
        <v>463</v>
      </c>
      <c r="B28" s="255">
        <f aca="true" t="shared" si="12" ref="B28:G28">B23-B24</f>
        <v>-293</v>
      </c>
      <c r="C28" s="255">
        <f t="shared" si="12"/>
        <v>-2867</v>
      </c>
      <c r="D28" s="255">
        <f t="shared" si="12"/>
        <v>-11460</v>
      </c>
      <c r="E28" s="255">
        <f t="shared" si="12"/>
        <v>-15656</v>
      </c>
      <c r="F28" s="255">
        <f t="shared" si="12"/>
        <v>1218</v>
      </c>
      <c r="G28" s="255">
        <f t="shared" si="12"/>
        <v>1627</v>
      </c>
      <c r="H28" s="255">
        <f>+H23+H25-H24</f>
        <v>-12364</v>
      </c>
      <c r="I28" s="255">
        <f aca="true" t="shared" si="13" ref="I28:O28">+I23+I25-I24</f>
        <v>-15267</v>
      </c>
      <c r="J28" s="255">
        <f t="shared" si="13"/>
        <v>689</v>
      </c>
      <c r="K28" s="255">
        <f t="shared" si="13"/>
        <v>6718</v>
      </c>
      <c r="L28" s="255">
        <f t="shared" si="13"/>
        <v>4201</v>
      </c>
      <c r="M28" s="255">
        <f t="shared" si="13"/>
        <v>6301</v>
      </c>
      <c r="N28" s="255">
        <f t="shared" si="13"/>
        <v>6248</v>
      </c>
      <c r="O28" s="255">
        <f t="shared" si="13"/>
        <v>5426</v>
      </c>
      <c r="P28" s="255">
        <f>+P23+P25-P24</f>
        <v>4808</v>
      </c>
      <c r="Q28" s="255">
        <f>+Q23+Q25-Q24</f>
        <v>5326</v>
      </c>
    </row>
    <row r="29" spans="1:17" ht="13.5" customHeight="1">
      <c r="A29" s="259"/>
      <c r="B29" s="264"/>
      <c r="C29" s="265"/>
      <c r="D29" s="265"/>
      <c r="E29" s="265"/>
      <c r="F29" s="265"/>
      <c r="G29" s="265"/>
      <c r="H29" s="260"/>
      <c r="I29" s="260"/>
      <c r="J29" s="260"/>
      <c r="K29" s="260"/>
      <c r="L29" s="260"/>
      <c r="M29" s="260"/>
      <c r="N29" s="260"/>
      <c r="O29" s="260"/>
      <c r="P29" s="260"/>
      <c r="Q29" s="260"/>
    </row>
    <row r="30" spans="1:17" ht="13.5" customHeight="1">
      <c r="A30" s="267" t="s">
        <v>464</v>
      </c>
      <c r="B30" s="255">
        <f aca="true" t="shared" si="14" ref="B30:H30">B28+B15</f>
        <v>649</v>
      </c>
      <c r="C30" s="255">
        <f t="shared" si="14"/>
        <v>-1339</v>
      </c>
      <c r="D30" s="255">
        <f t="shared" si="14"/>
        <v>-10176</v>
      </c>
      <c r="E30" s="255">
        <f t="shared" si="14"/>
        <v>-14495</v>
      </c>
      <c r="F30" s="255">
        <f t="shared" si="14"/>
        <v>32820</v>
      </c>
      <c r="G30" s="255">
        <f t="shared" si="14"/>
        <v>76252</v>
      </c>
      <c r="H30" s="255">
        <f t="shared" si="14"/>
        <v>66653</v>
      </c>
      <c r="I30" s="255">
        <f aca="true" t="shared" si="15" ref="I30:O30">I28+I15</f>
        <v>67668</v>
      </c>
      <c r="J30" s="255">
        <f t="shared" si="15"/>
        <v>87190</v>
      </c>
      <c r="K30" s="255">
        <f t="shared" si="15"/>
        <v>66075</v>
      </c>
      <c r="L30" s="255">
        <f t="shared" si="15"/>
        <v>66113</v>
      </c>
      <c r="M30" s="255">
        <f t="shared" si="15"/>
        <v>70907</v>
      </c>
      <c r="N30" s="255">
        <f t="shared" si="15"/>
        <v>90435</v>
      </c>
      <c r="O30" s="255">
        <f t="shared" si="15"/>
        <v>103109</v>
      </c>
      <c r="P30" s="255">
        <f>P28+P15</f>
        <v>106254</v>
      </c>
      <c r="Q30" s="255">
        <f>Q28+Q15</f>
        <v>117367</v>
      </c>
    </row>
    <row r="31" spans="1:10" ht="13.5" customHeight="1">
      <c r="A31" s="259" t="s">
        <v>549</v>
      </c>
      <c r="B31" s="268"/>
      <c r="C31" s="269"/>
      <c r="D31" s="269"/>
      <c r="E31" s="269"/>
      <c r="F31" s="269"/>
      <c r="G31" s="269"/>
      <c r="H31" s="270"/>
      <c r="I31" s="252"/>
      <c r="J31" s="266"/>
    </row>
    <row r="32" spans="1:17" ht="13.5" customHeight="1">
      <c r="A32" s="271" t="s">
        <v>465</v>
      </c>
      <c r="B32" s="252">
        <v>9607</v>
      </c>
      <c r="C32" s="252">
        <v>35017</v>
      </c>
      <c r="D32" s="252">
        <v>20209</v>
      </c>
      <c r="E32" s="252">
        <v>4526</v>
      </c>
      <c r="F32" s="252">
        <v>448140</v>
      </c>
      <c r="G32" s="252">
        <f>balans!G103</f>
        <v>241812</v>
      </c>
      <c r="H32" s="252">
        <f>balans!H103</f>
        <v>115017</v>
      </c>
      <c r="I32" s="252">
        <f>balans!I103</f>
        <v>63202</v>
      </c>
      <c r="J32" s="252">
        <f>balans!J103</f>
        <v>262892</v>
      </c>
      <c r="K32" s="252">
        <f>balans!K103</f>
        <v>269610</v>
      </c>
      <c r="L32" s="252">
        <f>balans!L103</f>
        <v>273811</v>
      </c>
      <c r="M32" s="252">
        <f>balans!M103</f>
        <v>280112</v>
      </c>
      <c r="N32" s="252">
        <f>balans!N103</f>
        <v>286360</v>
      </c>
      <c r="O32" s="252">
        <f>balans!O103</f>
        <v>291786</v>
      </c>
      <c r="P32" s="252">
        <f>balans!P103</f>
        <v>296594</v>
      </c>
      <c r="Q32" s="252">
        <f>balans!Q103</f>
        <v>301920</v>
      </c>
    </row>
    <row r="33" spans="1:17" ht="13.5" customHeight="1">
      <c r="A33" s="271" t="s">
        <v>466</v>
      </c>
      <c r="B33" s="252">
        <v>13053</v>
      </c>
      <c r="C33" s="252">
        <v>38451</v>
      </c>
      <c r="D33" s="252">
        <v>26021</v>
      </c>
      <c r="E33" s="252">
        <v>30080</v>
      </c>
      <c r="F33" s="252">
        <v>500596</v>
      </c>
      <c r="G33" s="252">
        <v>406329</v>
      </c>
      <c r="H33" s="252">
        <v>332459</v>
      </c>
      <c r="I33" s="252">
        <f>balans!I80-balans!I133</f>
        <v>250803</v>
      </c>
      <c r="J33" s="252">
        <f>balans!J80-balans!J133</f>
        <v>424063</v>
      </c>
      <c r="K33" s="252">
        <f>balans!K80-balans!K133</f>
        <v>458496</v>
      </c>
      <c r="L33" s="252">
        <f>balans!L80-balans!L133</f>
        <v>471215</v>
      </c>
      <c r="M33" s="252">
        <f>balans!M80-balans!M133</f>
        <v>529363</v>
      </c>
      <c r="N33" s="252">
        <f>balans!N80-balans!N133</f>
        <v>570958</v>
      </c>
      <c r="O33" s="252">
        <f>balans!O80-balans!O133</f>
        <v>601233</v>
      </c>
      <c r="P33" s="252">
        <f>balans!P80-balans!P133</f>
        <v>616887</v>
      </c>
      <c r="Q33" s="252">
        <f>balans!Q80-balans!Q133</f>
        <v>626062</v>
      </c>
    </row>
    <row r="34" spans="1:17" ht="13.5" customHeight="1">
      <c r="A34" s="271" t="s">
        <v>467</v>
      </c>
      <c r="B34" s="252">
        <v>30935</v>
      </c>
      <c r="C34" s="252">
        <v>67315</v>
      </c>
      <c r="D34" s="250">
        <v>55476</v>
      </c>
      <c r="E34" s="250">
        <v>94520</v>
      </c>
      <c r="F34" s="250">
        <v>544536</v>
      </c>
      <c r="G34" s="250">
        <v>540101</v>
      </c>
      <c r="H34" s="263">
        <f>balans!H80</f>
        <v>471342</v>
      </c>
      <c r="I34" s="263">
        <f>balans!I80</f>
        <v>402682</v>
      </c>
      <c r="J34" s="263">
        <f>balans!J80</f>
        <v>552001</v>
      </c>
      <c r="K34" s="263">
        <f>balans!K80</f>
        <v>593520</v>
      </c>
      <c r="L34" s="263">
        <f>balans!L80</f>
        <v>636981</v>
      </c>
      <c r="M34" s="263">
        <f>balans!M80</f>
        <v>676829</v>
      </c>
      <c r="N34" s="263">
        <f>balans!N80</f>
        <v>708609</v>
      </c>
      <c r="O34" s="263">
        <f>balans!O80</f>
        <v>716403</v>
      </c>
      <c r="P34" s="263">
        <f>balans!P80</f>
        <v>713880</v>
      </c>
      <c r="Q34" s="263">
        <f>balans!Q80</f>
        <v>665112</v>
      </c>
    </row>
    <row r="35" spans="1:17" ht="14.25">
      <c r="A35" s="271" t="s">
        <v>468</v>
      </c>
      <c r="B35" s="252">
        <v>19307</v>
      </c>
      <c r="C35" s="252">
        <v>30188</v>
      </c>
      <c r="D35" s="252">
        <v>32737</v>
      </c>
      <c r="E35" s="252">
        <v>87405</v>
      </c>
      <c r="F35" s="252">
        <v>51147</v>
      </c>
      <c r="G35" s="252">
        <v>236353</v>
      </c>
      <c r="H35" s="252">
        <v>285385</v>
      </c>
      <c r="I35" s="252">
        <f>balans!I118+balans!I133</f>
        <v>245708</v>
      </c>
      <c r="J35" s="252">
        <f>balans!J118+balans!J133</f>
        <v>197440</v>
      </c>
      <c r="K35" s="252">
        <f>balans!K118+balans!K133</f>
        <v>180189</v>
      </c>
      <c r="L35" s="252">
        <f>balans!L118+balans!L133</f>
        <v>167398</v>
      </c>
      <c r="M35" s="252">
        <f>balans!M118+balans!M133</f>
        <v>148896</v>
      </c>
      <c r="N35" s="252">
        <f>balans!N118+balans!N133</f>
        <v>138879</v>
      </c>
      <c r="O35" s="252">
        <f>balans!O118+balans!O133</f>
        <v>116196</v>
      </c>
      <c r="P35" s="252">
        <f>balans!P118+balans!P133</f>
        <v>97817</v>
      </c>
      <c r="Q35" s="252">
        <f>balans!Q118+balans!Q133</f>
        <v>39672</v>
      </c>
    </row>
    <row r="36" spans="1:17" ht="14.25">
      <c r="A36" s="272" t="s">
        <v>469</v>
      </c>
      <c r="B36" s="273"/>
      <c r="C36" s="273"/>
      <c r="D36" s="273"/>
      <c r="E36" s="273"/>
      <c r="F36" s="273"/>
      <c r="G36" s="273"/>
      <c r="H36" s="273"/>
      <c r="I36" s="274"/>
      <c r="J36" s="274"/>
      <c r="K36" s="274"/>
      <c r="L36" s="274"/>
      <c r="M36" s="274"/>
      <c r="N36" s="274"/>
      <c r="O36" s="274"/>
      <c r="P36" s="274"/>
      <c r="Q36" s="274"/>
    </row>
    <row r="37" spans="1:17" ht="14.25">
      <c r="A37" s="275" t="s">
        <v>470</v>
      </c>
      <c r="B37" s="276">
        <v>5564</v>
      </c>
      <c r="C37" s="276">
        <v>5381</v>
      </c>
      <c r="D37" s="276">
        <v>5151</v>
      </c>
      <c r="E37" s="276">
        <v>4786</v>
      </c>
      <c r="F37" s="276">
        <v>6461</v>
      </c>
      <c r="G37" s="276">
        <v>6276</v>
      </c>
      <c r="H37" s="277">
        <v>6080</v>
      </c>
      <c r="I37" s="277">
        <v>6105</v>
      </c>
      <c r="J37" s="277">
        <v>5897</v>
      </c>
      <c r="K37" s="277">
        <f>zaplati!N28</f>
        <v>5054</v>
      </c>
      <c r="L37" s="277">
        <f>zaplati!N44</f>
        <v>4954</v>
      </c>
      <c r="M37" s="277">
        <f>zaplati!N60</f>
        <v>4854</v>
      </c>
      <c r="N37" s="277">
        <f>zaplati!N76</f>
        <v>4729</v>
      </c>
      <c r="O37" s="277">
        <f>zaplati!N92</f>
        <v>4579</v>
      </c>
      <c r="P37" s="277">
        <f>zaplati!N108</f>
        <v>4504</v>
      </c>
      <c r="Q37" s="277">
        <f>zaplati!N124</f>
        <v>4454</v>
      </c>
    </row>
    <row r="38" spans="1:18" ht="14.25">
      <c r="A38" s="278" t="s">
        <v>471</v>
      </c>
      <c r="B38" s="250">
        <f>B40*1000/B37</f>
        <v>435.47807332854063</v>
      </c>
      <c r="C38" s="250">
        <f aca="true" t="shared" si="16" ref="C38:I38">C40*1000/C37</f>
        <v>433.93421297156664</v>
      </c>
      <c r="D38" s="250">
        <f t="shared" si="16"/>
        <v>416.22985827994563</v>
      </c>
      <c r="E38" s="250">
        <f t="shared" si="16"/>
        <v>439.8244880902633</v>
      </c>
      <c r="F38" s="250">
        <f t="shared" si="16"/>
        <v>320.07429190527785</v>
      </c>
      <c r="G38" s="250">
        <f t="shared" si="16"/>
        <v>298.9165073295092</v>
      </c>
      <c r="H38" s="250">
        <f t="shared" si="16"/>
        <v>300.32894736842104</v>
      </c>
      <c r="I38" s="250">
        <f t="shared" si="16"/>
        <v>278.8206388206388</v>
      </c>
      <c r="J38" s="250">
        <f>J40*1000/J37</f>
        <v>294.9804985585891</v>
      </c>
      <c r="K38" s="250">
        <f aca="true" t="shared" si="17" ref="K38:Q38">K40*1000/K37</f>
        <v>351.8005540166205</v>
      </c>
      <c r="L38" s="250">
        <f t="shared" si="17"/>
        <v>363.3427533306419</v>
      </c>
      <c r="M38" s="250">
        <f t="shared" si="17"/>
        <v>375.97857437165226</v>
      </c>
      <c r="N38" s="250">
        <f t="shared" si="17"/>
        <v>401.9877352505815</v>
      </c>
      <c r="O38" s="250">
        <f t="shared" si="17"/>
        <v>433.50076435903037</v>
      </c>
      <c r="P38" s="250">
        <f t="shared" si="17"/>
        <v>459.8134991119005</v>
      </c>
      <c r="Q38" s="250">
        <f t="shared" si="17"/>
        <v>484.2837898518186</v>
      </c>
      <c r="R38" s="421">
        <f>+Q38/J38-1</f>
        <v>0.6417484959794046</v>
      </c>
    </row>
    <row r="39" spans="1:17" ht="14.25">
      <c r="A39" s="249" t="s">
        <v>472</v>
      </c>
      <c r="B39" s="250">
        <v>33283</v>
      </c>
      <c r="C39" s="250">
        <v>33758</v>
      </c>
      <c r="D39" s="250">
        <v>31360</v>
      </c>
      <c r="E39" s="250">
        <v>30115</v>
      </c>
      <c r="F39" s="250">
        <v>29308</v>
      </c>
      <c r="G39" s="250">
        <v>26523</v>
      </c>
      <c r="H39" s="263">
        <v>26071</v>
      </c>
      <c r="I39" s="263">
        <f>prihodi!K8</f>
        <v>24627.2</v>
      </c>
      <c r="J39" s="263">
        <f>prihodi!L8</f>
        <v>25000</v>
      </c>
      <c r="K39" s="263">
        <f>prihodi!M8</f>
        <v>25270</v>
      </c>
      <c r="L39" s="263">
        <f>prihodi!N8</f>
        <v>25270</v>
      </c>
      <c r="M39" s="263">
        <f>prihodi!O8</f>
        <v>25290</v>
      </c>
      <c r="N39" s="263">
        <f>prihodi!P8</f>
        <v>26040</v>
      </c>
      <c r="O39" s="263">
        <f>prihodi!Q8</f>
        <v>26870</v>
      </c>
      <c r="P39" s="263">
        <f>prihodi!R8</f>
        <v>27700</v>
      </c>
      <c r="Q39" s="263">
        <f>prihodi!S8</f>
        <v>28530</v>
      </c>
    </row>
    <row r="40" spans="1:17" ht="15" thickBot="1">
      <c r="A40" s="279" t="s">
        <v>473</v>
      </c>
      <c r="B40" s="280">
        <v>2423</v>
      </c>
      <c r="C40" s="280">
        <v>2335</v>
      </c>
      <c r="D40" s="280">
        <v>2144</v>
      </c>
      <c r="E40" s="280">
        <v>2105</v>
      </c>
      <c r="F40" s="280">
        <v>2068</v>
      </c>
      <c r="G40" s="280">
        <v>1876</v>
      </c>
      <c r="H40" s="281">
        <v>1826</v>
      </c>
      <c r="I40" s="281">
        <f>prihodi!K11</f>
        <v>1702.2</v>
      </c>
      <c r="J40" s="281">
        <f>prihodi!L11</f>
        <v>1739.5</v>
      </c>
      <c r="K40" s="281">
        <f>prihodi!M11</f>
        <v>1778</v>
      </c>
      <c r="L40" s="281">
        <f>prihodi!N11</f>
        <v>1800</v>
      </c>
      <c r="M40" s="281">
        <f>prihodi!O11</f>
        <v>1825</v>
      </c>
      <c r="N40" s="281">
        <f>prihodi!P11</f>
        <v>1901</v>
      </c>
      <c r="O40" s="281">
        <f>prihodi!Q11</f>
        <v>1985</v>
      </c>
      <c r="P40" s="281">
        <f>prihodi!R11</f>
        <v>2071</v>
      </c>
      <c r="Q40" s="281">
        <f>prihodi!S11</f>
        <v>2157</v>
      </c>
    </row>
    <row r="41" spans="1:10" ht="15" thickTop="1">
      <c r="A41" s="272" t="s">
        <v>567</v>
      </c>
      <c r="J41" s="238"/>
    </row>
    <row r="42" spans="1:17" ht="14.25">
      <c r="A42" s="272" t="s">
        <v>474</v>
      </c>
      <c r="B42" s="273"/>
      <c r="C42" s="273"/>
      <c r="D42" s="273"/>
      <c r="E42" s="273"/>
      <c r="F42" s="273"/>
      <c r="G42" s="273"/>
      <c r="H42" s="273"/>
      <c r="I42" s="274"/>
      <c r="J42" s="274"/>
      <c r="K42" s="274"/>
      <c r="L42" s="274"/>
      <c r="M42" s="274"/>
      <c r="N42" s="274"/>
      <c r="O42" s="274"/>
      <c r="P42" s="274"/>
      <c r="Q42" s="274"/>
    </row>
    <row r="43" spans="1:17" ht="14.25">
      <c r="A43" s="278" t="s">
        <v>475</v>
      </c>
      <c r="B43" s="282">
        <v>-0.0028653295128939827</v>
      </c>
      <c r="C43" s="282">
        <f aca="true" t="shared" si="18" ref="C43:H43">C28/C10</f>
        <v>-0.015259659039498406</v>
      </c>
      <c r="D43" s="282">
        <f t="shared" si="18"/>
        <v>-0.05572303802392298</v>
      </c>
      <c r="E43" s="282">
        <f t="shared" si="18"/>
        <v>-0.1597502117282124</v>
      </c>
      <c r="F43" s="282">
        <f t="shared" si="18"/>
        <v>0.010883940379597527</v>
      </c>
      <c r="G43" s="282">
        <f t="shared" si="18"/>
        <v>0.017199095118290028</v>
      </c>
      <c r="H43" s="282">
        <f t="shared" si="18"/>
        <v>-0.14785936378856732</v>
      </c>
      <c r="I43" s="282">
        <f>I28/I10</f>
        <v>-0.20043324143363528</v>
      </c>
      <c r="J43" s="282">
        <f aca="true" t="shared" si="19" ref="J43:Q43">J28/J10</f>
        <v>0.009231841142658074</v>
      </c>
      <c r="K43" s="282">
        <f t="shared" si="19"/>
        <v>0.08553167651252801</v>
      </c>
      <c r="L43" s="282">
        <f t="shared" si="19"/>
        <v>0.05228636148657058</v>
      </c>
      <c r="M43" s="282">
        <f t="shared" si="19"/>
        <v>0.07608892538430885</v>
      </c>
      <c r="N43" s="282">
        <f t="shared" si="19"/>
        <v>0.07160867372667676</v>
      </c>
      <c r="O43" s="282">
        <f t="shared" si="19"/>
        <v>0.058917422227048155</v>
      </c>
      <c r="P43" s="282">
        <f t="shared" si="19"/>
        <v>0.049609459640723504</v>
      </c>
      <c r="Q43" s="282">
        <f t="shared" si="19"/>
        <v>0.051990902080221786</v>
      </c>
    </row>
    <row r="44" spans="1:17" ht="14.25">
      <c r="A44" s="278" t="s">
        <v>476</v>
      </c>
      <c r="B44" s="282">
        <v>-0.024461330280004162</v>
      </c>
      <c r="C44" s="282">
        <f aca="true" t="shared" si="20" ref="C44:H44">C17/C32</f>
        <v>-0.08895679241511266</v>
      </c>
      <c r="D44" s="282">
        <f t="shared" si="20"/>
        <v>-0.5706368449700628</v>
      </c>
      <c r="E44" s="282">
        <f t="shared" si="20"/>
        <v>-3.4169244365885993</v>
      </c>
      <c r="F44" s="282">
        <f t="shared" si="20"/>
        <v>0.000685053777837283</v>
      </c>
      <c r="G44" s="282">
        <f t="shared" si="20"/>
        <v>0.02029675946603146</v>
      </c>
      <c r="H44" s="282">
        <f t="shared" si="20"/>
        <v>-0.008155316170653034</v>
      </c>
      <c r="I44" s="282">
        <f>I17/I32</f>
        <v>-0.11040789848422518</v>
      </c>
      <c r="J44" s="282">
        <f aca="true" t="shared" si="21" ref="J44:Q44">J17/J32</f>
        <v>-0.012556487074540115</v>
      </c>
      <c r="K44" s="282">
        <f t="shared" si="21"/>
        <v>0.008486332109343126</v>
      </c>
      <c r="L44" s="282">
        <f t="shared" si="21"/>
        <v>0.008469345643527835</v>
      </c>
      <c r="M44" s="304">
        <f t="shared" si="21"/>
        <v>0.01053864168618267</v>
      </c>
      <c r="N44" s="282">
        <f t="shared" si="21"/>
        <v>0.00926805419751362</v>
      </c>
      <c r="O44" s="282">
        <f t="shared" si="21"/>
        <v>0.012056781339748994</v>
      </c>
      <c r="P44" s="282">
        <f t="shared" si="21"/>
        <v>0.012255810973923949</v>
      </c>
      <c r="Q44" s="282">
        <f t="shared" si="21"/>
        <v>0.015275569687334394</v>
      </c>
    </row>
    <row r="45" spans="1:17" ht="14.25">
      <c r="A45" s="278" t="s">
        <v>477</v>
      </c>
      <c r="B45" s="282">
        <v>-0.01800352409407799</v>
      </c>
      <c r="C45" s="282">
        <f aca="true" t="shared" si="22" ref="C45:H45">C17/C33</f>
        <v>-0.08101219734207173</v>
      </c>
      <c r="D45" s="282">
        <f t="shared" si="22"/>
        <v>-0.4431805080511894</v>
      </c>
      <c r="E45" s="282">
        <f t="shared" si="22"/>
        <v>-0.5141289893617021</v>
      </c>
      <c r="F45" s="282">
        <f t="shared" si="22"/>
        <v>0.0006132689833718208</v>
      </c>
      <c r="G45" s="282">
        <f t="shared" si="22"/>
        <v>0.012078881891275296</v>
      </c>
      <c r="H45" s="304">
        <f t="shared" si="22"/>
        <v>-0.002821400533599632</v>
      </c>
      <c r="I45" s="282">
        <f>I17/I33</f>
        <v>-0.027822633700553823</v>
      </c>
      <c r="J45" s="282">
        <f aca="true" t="shared" si="23" ref="J45:Q45">J17/J33</f>
        <v>-0.007784220740786157</v>
      </c>
      <c r="K45" s="282">
        <f t="shared" si="23"/>
        <v>0.004990228922389726</v>
      </c>
      <c r="L45" s="282">
        <f t="shared" si="23"/>
        <v>0.004921320416370447</v>
      </c>
      <c r="M45" s="304">
        <f t="shared" si="23"/>
        <v>0.005576513658869245</v>
      </c>
      <c r="N45" s="304">
        <f t="shared" si="23"/>
        <v>0.004648327898024023</v>
      </c>
      <c r="O45" s="304">
        <f t="shared" si="23"/>
        <v>0.005851308893557073</v>
      </c>
      <c r="P45" s="304">
        <f t="shared" si="23"/>
        <v>0.0058924892241204625</v>
      </c>
      <c r="Q45" s="304">
        <f t="shared" si="23"/>
        <v>0.007366682533039859</v>
      </c>
    </row>
    <row r="46" spans="1:17" ht="14.25">
      <c r="A46" s="278" t="s">
        <v>478</v>
      </c>
      <c r="B46" s="282">
        <v>8.575729620932574</v>
      </c>
      <c r="C46" s="282">
        <v>4.7215860579579125</v>
      </c>
      <c r="D46" s="282">
        <f>D10/balans!D41</f>
        <v>5.173185762797132</v>
      </c>
      <c r="E46" s="282">
        <f>E10/balans!E41</f>
        <v>1.6703823013072898</v>
      </c>
      <c r="F46" s="282">
        <f>F10/balans!F41</f>
        <v>0.22908307813242063</v>
      </c>
      <c r="G46" s="282">
        <f>G10/balans!G41</f>
        <v>0.21133834062384108</v>
      </c>
      <c r="H46" s="282">
        <f>H10/balans!H41</f>
        <v>0.21345681596561003</v>
      </c>
      <c r="I46" s="282">
        <f>I10/balans!I41</f>
        <v>0.2215512953639148</v>
      </c>
      <c r="J46" s="282">
        <f>J10/balans!J41</f>
        <v>0.15075698659744877</v>
      </c>
      <c r="K46" s="282">
        <f>K10/balans!K41</f>
        <v>0.1629425249203896</v>
      </c>
      <c r="L46" s="282">
        <f>L10/balans!L41</f>
        <v>0.1747335914053325</v>
      </c>
      <c r="M46" s="282">
        <f>M10/balans!M41</f>
        <v>0.19070812866022308</v>
      </c>
      <c r="N46" s="282">
        <f>N10/balans!N41</f>
        <v>0.15571565990694752</v>
      </c>
      <c r="O46" s="282">
        <f>O10/balans!O41</f>
        <v>0.15273739848050377</v>
      </c>
      <c r="P46" s="282">
        <f>P10/balans!P41</f>
        <v>0.15703707304426728</v>
      </c>
      <c r="Q46" s="282">
        <f>Q10/balans!Q41</f>
        <v>0.17126850138180433</v>
      </c>
    </row>
    <row r="47" spans="1:17" ht="14.25">
      <c r="A47" s="278" t="s">
        <v>479</v>
      </c>
      <c r="B47" s="282">
        <v>8.734688647817546</v>
      </c>
      <c r="C47" s="282">
        <f>+C10/balans!C15</f>
        <v>4.765892141443864</v>
      </c>
      <c r="D47" s="282">
        <f>+D10/balans!D15</f>
        <v>5.19947413662335</v>
      </c>
      <c r="E47" s="282">
        <f>+E10/balans!E15</f>
        <v>1.6728914531519383</v>
      </c>
      <c r="F47" s="282">
        <f>+F10/balans!F15</f>
        <v>0.22923183124499424</v>
      </c>
      <c r="G47" s="282">
        <f>+G10/balans!G15</f>
        <v>0.21146211484468605</v>
      </c>
      <c r="H47" s="282">
        <f>+H10/balans!H15</f>
        <v>0.21359694496596293</v>
      </c>
      <c r="I47" s="282">
        <f>+I10/balans!I15</f>
        <v>0.23107516541123008</v>
      </c>
      <c r="J47" s="282">
        <f>+J10/balans!J15</f>
        <v>0.15473591458041777</v>
      </c>
      <c r="K47" s="282">
        <f>+K10/balans!K15</f>
        <v>0.1672056115552055</v>
      </c>
      <c r="L47" s="282">
        <f>+L10/balans!L15</f>
        <v>0.17935576043038595</v>
      </c>
      <c r="M47" s="282">
        <f>+M10/balans!M15</f>
        <v>0.19585449092874255</v>
      </c>
      <c r="N47" s="282">
        <f>+N10/balans!N15</f>
        <v>0.15868067995613422</v>
      </c>
      <c r="O47" s="282">
        <f>+O10/balans!O15</f>
        <v>0.15519022366467655</v>
      </c>
      <c r="P47" s="282">
        <f>+P10/balans!P15</f>
        <v>0.15925366021985968</v>
      </c>
      <c r="Q47" s="282">
        <f>+Q10/balans!Q15</f>
        <v>0.1734873772399112</v>
      </c>
    </row>
    <row r="48" spans="1:17" ht="14.25">
      <c r="A48" s="272" t="s">
        <v>468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</row>
    <row r="49" spans="1:17" ht="14.25">
      <c r="A49" s="278" t="s">
        <v>480</v>
      </c>
      <c r="B49" s="282">
        <f>B35/B32</f>
        <v>2.0096804413448526</v>
      </c>
      <c r="C49" s="282">
        <f aca="true" t="shared" si="24" ref="C49:P49">C35/C32</f>
        <v>0.8620955535882572</v>
      </c>
      <c r="D49" s="282">
        <f t="shared" si="24"/>
        <v>1.6199218170122223</v>
      </c>
      <c r="E49" s="282">
        <f t="shared" si="24"/>
        <v>19.311754308440122</v>
      </c>
      <c r="F49" s="282">
        <f t="shared" si="24"/>
        <v>0.11413174454411568</v>
      </c>
      <c r="G49" s="282">
        <f t="shared" si="24"/>
        <v>0.9774246108547135</v>
      </c>
      <c r="H49" s="282">
        <f t="shared" si="24"/>
        <v>2.481241903370806</v>
      </c>
      <c r="I49" s="282">
        <f t="shared" si="24"/>
        <v>3.887661782854973</v>
      </c>
      <c r="J49" s="282">
        <f t="shared" si="24"/>
        <v>0.7510308415623146</v>
      </c>
      <c r="K49" s="282">
        <f t="shared" si="24"/>
        <v>0.6683320351619005</v>
      </c>
      <c r="L49" s="282">
        <f t="shared" si="24"/>
        <v>0.6113633126499666</v>
      </c>
      <c r="M49" s="282">
        <f t="shared" si="24"/>
        <v>0.5315588050494088</v>
      </c>
      <c r="N49" s="282">
        <f t="shared" si="24"/>
        <v>0.4849804441961168</v>
      </c>
      <c r="O49" s="282">
        <f t="shared" si="24"/>
        <v>0.39822335547284654</v>
      </c>
      <c r="P49" s="282">
        <f t="shared" si="24"/>
        <v>0.3298010074377769</v>
      </c>
      <c r="Q49" s="282">
        <f>Q35/Q32</f>
        <v>0.13139904610492845</v>
      </c>
    </row>
    <row r="50" spans="1:17" ht="14.25">
      <c r="A50" s="278" t="s">
        <v>481</v>
      </c>
      <c r="B50" s="282">
        <f>B35/B34</f>
        <v>0.6241150800064652</v>
      </c>
      <c r="C50" s="282">
        <f aca="true" t="shared" si="25" ref="C50:P50">C35/C34</f>
        <v>0.44845873876550546</v>
      </c>
      <c r="D50" s="282">
        <f t="shared" si="25"/>
        <v>0.5901110390078592</v>
      </c>
      <c r="E50" s="282">
        <f t="shared" si="25"/>
        <v>0.9247249259415996</v>
      </c>
      <c r="F50" s="282">
        <f t="shared" si="25"/>
        <v>0.09392767420335846</v>
      </c>
      <c r="G50" s="282">
        <f t="shared" si="25"/>
        <v>0.4376088916702617</v>
      </c>
      <c r="H50" s="282">
        <f t="shared" si="25"/>
        <v>0.6054733081287048</v>
      </c>
      <c r="I50" s="282">
        <f t="shared" si="25"/>
        <v>0.6101787514713843</v>
      </c>
      <c r="J50" s="282">
        <f t="shared" si="25"/>
        <v>0.35768051144834884</v>
      </c>
      <c r="K50" s="282">
        <f t="shared" si="25"/>
        <v>0.3035938131823696</v>
      </c>
      <c r="L50" s="282">
        <f t="shared" si="25"/>
        <v>0.26279904738131904</v>
      </c>
      <c r="M50" s="282">
        <f t="shared" si="25"/>
        <v>0.21999057368995714</v>
      </c>
      <c r="N50" s="282">
        <f t="shared" si="25"/>
        <v>0.19598819659360803</v>
      </c>
      <c r="O50" s="282">
        <f t="shared" si="25"/>
        <v>0.16219362565483395</v>
      </c>
      <c r="P50" s="282">
        <f t="shared" si="25"/>
        <v>0.1370216282848658</v>
      </c>
      <c r="Q50" s="282">
        <f>Q35/Q34</f>
        <v>0.0596470970302746</v>
      </c>
    </row>
    <row r="51" spans="1:17" ht="14.25">
      <c r="A51" s="272" t="s">
        <v>482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</row>
    <row r="52" spans="1:17" ht="14.25">
      <c r="A52" s="278" t="s">
        <v>483</v>
      </c>
      <c r="B52" s="282">
        <v>1.0631361145285763</v>
      </c>
      <c r="C52" s="282">
        <v>0.9525013858093127</v>
      </c>
      <c r="D52" s="282">
        <v>0.5337294177558989</v>
      </c>
      <c r="E52" s="282">
        <v>0.5563159528243327</v>
      </c>
      <c r="F52" s="282">
        <v>1.2751934456076468</v>
      </c>
      <c r="G52" s="282">
        <v>0.6913778668181683</v>
      </c>
      <c r="H52" s="282">
        <v>0.57195462717604</v>
      </c>
      <c r="I52" s="282">
        <f>balans!I161</f>
        <v>0.2156799687361338</v>
      </c>
      <c r="J52" s="282">
        <f>balans!J161</f>
        <v>0.3990135847050915</v>
      </c>
      <c r="K52" s="282">
        <f>balans!K161</f>
        <v>0.8256680293873682</v>
      </c>
      <c r="L52" s="282">
        <f>balans!L161</f>
        <v>1.068741478952258</v>
      </c>
      <c r="M52" s="282">
        <f>balans!M161</f>
        <v>1.6451249779610215</v>
      </c>
      <c r="N52" s="282">
        <f>balans!N161</f>
        <v>1.0772170198545596</v>
      </c>
      <c r="O52" s="282">
        <f>balans!O161</f>
        <v>0.984978727099071</v>
      </c>
      <c r="P52" s="282">
        <f>balans!P161</f>
        <v>0.9971853638922397</v>
      </c>
      <c r="Q52" s="282">
        <f>balans!Q161</f>
        <v>1.7152624839948785</v>
      </c>
    </row>
    <row r="53" spans="1:17" ht="14.25">
      <c r="A53" s="278" t="s">
        <v>484</v>
      </c>
      <c r="B53" s="282">
        <v>0.8042724527457779</v>
      </c>
      <c r="C53" s="282">
        <v>0.7805224501108647</v>
      </c>
      <c r="D53" s="282">
        <v>0.3728399253097946</v>
      </c>
      <c r="E53" s="282">
        <v>0.4834574798261949</v>
      </c>
      <c r="F53" s="282">
        <v>0.9043695949021393</v>
      </c>
      <c r="G53" s="282">
        <v>0.5250351344077984</v>
      </c>
      <c r="H53" s="282">
        <v>0.3956258980338924</v>
      </c>
      <c r="I53" s="282">
        <f>balans!I162</f>
        <v>0.126602374914004</v>
      </c>
      <c r="J53" s="282">
        <f>balans!J162</f>
        <v>0.22797761415685722</v>
      </c>
      <c r="K53" s="282">
        <f>balans!K162</f>
        <v>0.6636079511790497</v>
      </c>
      <c r="L53" s="282">
        <f>balans!L162</f>
        <v>0.9367361220033059</v>
      </c>
      <c r="M53" s="282">
        <f>balans!M162</f>
        <v>1.4967382311854935</v>
      </c>
      <c r="N53" s="282">
        <f>balans!N162</f>
        <v>0.9000879034660119</v>
      </c>
      <c r="O53" s="282">
        <f>balans!O162</f>
        <v>0.7559086567682556</v>
      </c>
      <c r="P53" s="282">
        <f>balans!P162</f>
        <v>0.7169383357561886</v>
      </c>
      <c r="Q53" s="282">
        <f>balans!Q162</f>
        <v>0.9986939820742637</v>
      </c>
    </row>
    <row r="54" spans="1:17" ht="14.25">
      <c r="A54" s="413" t="s">
        <v>485</v>
      </c>
      <c r="B54" s="414">
        <v>0.09534727659098535</v>
      </c>
      <c r="C54" s="414">
        <v>0.02144539911308204</v>
      </c>
      <c r="D54" s="414">
        <v>0.013546087251739941</v>
      </c>
      <c r="E54" s="414">
        <v>0.17908131595282434</v>
      </c>
      <c r="F54" s="414">
        <v>0.2693218024578971</v>
      </c>
      <c r="G54" s="414">
        <v>0.17320515503991868</v>
      </c>
      <c r="H54" s="414">
        <v>0.08369134349480495</v>
      </c>
      <c r="I54" s="414">
        <f>balans!I163</f>
        <v>0.04254702756799821</v>
      </c>
      <c r="J54" s="414">
        <f>balans!J163</f>
        <v>0.03539995935531273</v>
      </c>
      <c r="K54" s="414">
        <f>balans!K163</f>
        <v>0.022470079393293044</v>
      </c>
      <c r="L54" s="414">
        <f>balans!L163</f>
        <v>0.03444614697827057</v>
      </c>
      <c r="M54" s="414">
        <f>balans!M163</f>
        <v>0.055260195570504385</v>
      </c>
      <c r="N54" s="414">
        <f>balans!N163</f>
        <v>0.09683184284894407</v>
      </c>
      <c r="O54" s="414">
        <f>balans!O163</f>
        <v>0.1605365980724147</v>
      </c>
      <c r="P54" s="414">
        <f>balans!P163</f>
        <v>0.24712092625240997</v>
      </c>
      <c r="Q54" s="414">
        <f>balans!Q163</f>
        <v>0.395134443021767</v>
      </c>
    </row>
    <row r="55" spans="1:17" ht="14.25">
      <c r="A55" s="415" t="s">
        <v>568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</row>
    <row r="56" spans="1:17" ht="28.5" customHeight="1">
      <c r="A56" s="275" t="s">
        <v>571</v>
      </c>
      <c r="B56" s="416"/>
      <c r="C56" s="416"/>
      <c r="D56" s="416"/>
      <c r="E56" s="416"/>
      <c r="F56" s="419">
        <f>F9/F60</f>
        <v>846.5705705705706</v>
      </c>
      <c r="G56" s="419">
        <f aca="true" t="shared" si="26" ref="G56:Q56">G9/G60</f>
        <v>925.1678321678322</v>
      </c>
      <c r="H56" s="419">
        <f t="shared" si="26"/>
        <v>886.7832167832167</v>
      </c>
      <c r="I56" s="419">
        <f t="shared" si="26"/>
        <v>865.3881118881119</v>
      </c>
      <c r="J56" s="419">
        <f t="shared" si="26"/>
        <v>1218.3397129186603</v>
      </c>
      <c r="K56" s="419">
        <f t="shared" si="26"/>
        <v>1228.298076923077</v>
      </c>
      <c r="L56" s="419">
        <f t="shared" si="26"/>
        <v>1244.0961538461538</v>
      </c>
      <c r="M56" s="419">
        <f t="shared" si="26"/>
        <v>1271.7740384615386</v>
      </c>
      <c r="N56" s="419">
        <f t="shared" si="26"/>
        <v>1299.4444444444443</v>
      </c>
      <c r="O56" s="419">
        <f t="shared" si="26"/>
        <v>1243.3590909090908</v>
      </c>
      <c r="P56" s="419">
        <f t="shared" si="26"/>
        <v>1243.3122171945702</v>
      </c>
      <c r="Q56" s="419">
        <f t="shared" si="26"/>
        <v>1270.1659192825111</v>
      </c>
    </row>
    <row r="57" spans="1:17" ht="14.25">
      <c r="A57" s="278" t="s">
        <v>572</v>
      </c>
      <c r="B57" s="411"/>
      <c r="C57" s="411"/>
      <c r="D57" s="411"/>
      <c r="E57" s="411"/>
      <c r="F57" s="420">
        <f>+F9/F61</f>
        <v>368.9895287958115</v>
      </c>
      <c r="G57" s="420">
        <f aca="true" t="shared" si="27" ref="G57:Q57">+G9/G61</f>
        <v>346.3324607329843</v>
      </c>
      <c r="H57" s="420">
        <f t="shared" si="27"/>
        <v>319.42065491183877</v>
      </c>
      <c r="I57" s="420">
        <f t="shared" si="27"/>
        <v>322.6870925684485</v>
      </c>
      <c r="J57" s="420">
        <f t="shared" si="27"/>
        <v>381.7586206896552</v>
      </c>
      <c r="K57" s="420">
        <f t="shared" si="27"/>
        <v>420.20723684210526</v>
      </c>
      <c r="L57" s="420">
        <f t="shared" si="27"/>
        <v>463.7491039426523</v>
      </c>
      <c r="M57" s="420">
        <f t="shared" si="27"/>
        <v>520.7263779527559</v>
      </c>
      <c r="N57" s="420">
        <f t="shared" si="27"/>
        <v>587.3034934497816</v>
      </c>
      <c r="O57" s="420">
        <f t="shared" si="27"/>
        <v>639.1098130841121</v>
      </c>
      <c r="P57" s="420">
        <f t="shared" si="27"/>
        <v>673.4607843137255</v>
      </c>
      <c r="Q57" s="420">
        <f t="shared" si="27"/>
        <v>694.2328431372549</v>
      </c>
    </row>
    <row r="58" spans="1:18" ht="15" thickBot="1">
      <c r="A58" s="283" t="s">
        <v>573</v>
      </c>
      <c r="B58" s="417">
        <f>+B9/B37</f>
        <v>18.259884974838247</v>
      </c>
      <c r="C58" s="417">
        <f>+C9/C37</f>
        <v>34.91562906522951</v>
      </c>
      <c r="D58" s="417">
        <f>+D9/D37</f>
        <v>39.92622791690934</v>
      </c>
      <c r="E58" s="417">
        <f>+E9/E37</f>
        <v>53.90785624738822</v>
      </c>
      <c r="F58" s="417">
        <f>+F9/F37</f>
        <v>43.632255068874784</v>
      </c>
      <c r="G58" s="417">
        <f aca="true" t="shared" si="28" ref="G58:Q58">+G9/G37</f>
        <v>42.16029318036966</v>
      </c>
      <c r="H58" s="417">
        <f t="shared" si="28"/>
        <v>41.713815789473685</v>
      </c>
      <c r="I58" s="417">
        <f t="shared" si="28"/>
        <v>40.54070434070434</v>
      </c>
      <c r="J58" s="417">
        <f t="shared" si="28"/>
        <v>43.180091571985756</v>
      </c>
      <c r="K58" s="417">
        <f t="shared" si="28"/>
        <v>50.551246537396125</v>
      </c>
      <c r="L58" s="417">
        <f t="shared" si="28"/>
        <v>52.23496164715382</v>
      </c>
      <c r="M58" s="417">
        <f t="shared" si="28"/>
        <v>54.49711578079934</v>
      </c>
      <c r="N58" s="417">
        <f t="shared" si="28"/>
        <v>56.87989004017763</v>
      </c>
      <c r="O58" s="417">
        <f t="shared" si="28"/>
        <v>59.737715658440706</v>
      </c>
      <c r="P58" s="417">
        <f t="shared" si="28"/>
        <v>61.00621669626998</v>
      </c>
      <c r="Q58" s="417">
        <f t="shared" si="28"/>
        <v>63.593848226313426</v>
      </c>
      <c r="R58" s="421">
        <f>+Q58/J58-1</f>
        <v>0.47275853086823094</v>
      </c>
    </row>
    <row r="59" spans="1:8" ht="15" thickTop="1">
      <c r="A59" s="278"/>
      <c r="H59" s="284"/>
    </row>
    <row r="60" spans="1:17" ht="14.25">
      <c r="A60" s="412" t="s">
        <v>569</v>
      </c>
      <c r="F60" s="238">
        <v>333</v>
      </c>
      <c r="G60" s="238">
        <v>286</v>
      </c>
      <c r="H60" s="238">
        <v>286</v>
      </c>
      <c r="I60" s="238">
        <v>286</v>
      </c>
      <c r="J60" s="285">
        <f>8+'vag +lok'!C64+'vag +lok'!C72</f>
        <v>209</v>
      </c>
      <c r="K60" s="285">
        <f>8+'vag +lok'!D64+'vag +lok'!D72</f>
        <v>208</v>
      </c>
      <c r="L60" s="285">
        <f>8+'vag +lok'!E64+'vag +lok'!E72</f>
        <v>208</v>
      </c>
      <c r="M60" s="285">
        <f>8+'vag +lok'!F64+'vag +lok'!F72</f>
        <v>208</v>
      </c>
      <c r="N60" s="285">
        <f>8+'vag +lok'!G64+'vag +lok'!G72</f>
        <v>207</v>
      </c>
      <c r="O60" s="285">
        <f>8+'vag +lok'!H64+'vag +lok'!H72</f>
        <v>220</v>
      </c>
      <c r="P60" s="285">
        <f>8+'vag +lok'!I64+'vag +lok'!I72</f>
        <v>221</v>
      </c>
      <c r="Q60" s="285">
        <f>8+'vag +lok'!J64+'vag +lok'!J72</f>
        <v>223</v>
      </c>
    </row>
    <row r="61" spans="1:17" ht="14.25">
      <c r="A61" s="412" t="s">
        <v>570</v>
      </c>
      <c r="F61" s="238">
        <v>764</v>
      </c>
      <c r="G61" s="238">
        <v>764</v>
      </c>
      <c r="H61" s="238">
        <v>794</v>
      </c>
      <c r="I61" s="238">
        <v>767</v>
      </c>
      <c r="J61" s="285">
        <f>'vag +lok'!B6-'vag +lok'!B12</f>
        <v>667</v>
      </c>
      <c r="K61" s="285">
        <f>'vag +lok'!C6-'vag +lok'!C12</f>
        <v>608</v>
      </c>
      <c r="L61" s="285">
        <f>'vag +lok'!D6-'vag +lok'!D12</f>
        <v>558</v>
      </c>
      <c r="M61" s="285">
        <f>'vag +lok'!E6-'vag +lok'!E12</f>
        <v>508</v>
      </c>
      <c r="N61" s="285">
        <f>'vag +lok'!F6-'vag +lok'!F12</f>
        <v>458</v>
      </c>
      <c r="O61" s="285">
        <f>'vag +lok'!G6-'vag +lok'!G12</f>
        <v>428</v>
      </c>
      <c r="P61" s="285">
        <f>'vag +lok'!H6-'vag +lok'!H12</f>
        <v>408</v>
      </c>
      <c r="Q61" s="285">
        <f>'vag +lok'!I6-'vag +lok'!I12</f>
        <v>408</v>
      </c>
    </row>
    <row r="62" spans="2:9" ht="14.25">
      <c r="B62" s="420">
        <f>+B12/B37</f>
        <v>18.132818116462975</v>
      </c>
      <c r="C62" s="420">
        <f>+C12/C37</f>
        <v>35.21055565879948</v>
      </c>
      <c r="D62" s="420">
        <f>+D12/D37</f>
        <v>41.93321685109687</v>
      </c>
      <c r="E62" s="420">
        <f>+E12/E37</f>
        <v>56.914542415378186</v>
      </c>
      <c r="F62" s="421"/>
      <c r="H62" s="422"/>
      <c r="I62" s="421"/>
    </row>
    <row r="63" spans="2:10" ht="14.25">
      <c r="B63" s="399"/>
      <c r="C63" s="399"/>
      <c r="D63" s="399"/>
      <c r="E63" s="399"/>
      <c r="J63" s="423"/>
    </row>
    <row r="64" spans="2:5" ht="14.25">
      <c r="B64" s="399"/>
      <c r="C64" s="399"/>
      <c r="D64" s="399"/>
      <c r="E64" s="399"/>
    </row>
  </sheetData>
  <sheetProtection/>
  <mergeCells count="1">
    <mergeCell ref="M1:O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F35" sqref="F35"/>
    </sheetView>
  </sheetViews>
  <sheetFormatPr defaultColWidth="9.140625" defaultRowHeight="12.75" outlineLevelRow="1"/>
  <cols>
    <col min="1" max="1" width="16.57421875" style="0" customWidth="1"/>
    <col min="2" max="2" width="16.421875" style="0" bestFit="1" customWidth="1"/>
    <col min="3" max="3" width="15.421875" style="0" bestFit="1" customWidth="1"/>
    <col min="4" max="9" width="16.57421875" style="0" customWidth="1"/>
    <col min="10" max="10" width="13.140625" style="0" customWidth="1"/>
  </cols>
  <sheetData>
    <row r="1" spans="1:13" s="306" customFormat="1" ht="12.75" customHeight="1">
      <c r="A1" s="794" t="s">
        <v>508</v>
      </c>
      <c r="B1" s="794"/>
      <c r="C1" s="794"/>
      <c r="D1" s="794"/>
      <c r="E1" s="794"/>
      <c r="F1" s="794"/>
      <c r="G1" s="794"/>
      <c r="H1" s="794"/>
      <c r="I1" s="794"/>
      <c r="J1" s="305"/>
      <c r="K1" s="305"/>
      <c r="L1" s="305"/>
      <c r="M1" s="305"/>
    </row>
    <row r="2" spans="1:13" s="306" customFormat="1" ht="12.75" customHeight="1">
      <c r="A2" s="794"/>
      <c r="B2" s="794"/>
      <c r="C2" s="794"/>
      <c r="D2" s="794"/>
      <c r="E2" s="794"/>
      <c r="F2" s="794"/>
      <c r="G2" s="794"/>
      <c r="H2" s="794"/>
      <c r="I2" s="794"/>
      <c r="J2" s="305"/>
      <c r="K2" s="305"/>
      <c r="L2" s="305"/>
      <c r="M2" s="305"/>
    </row>
    <row r="3" spans="1:13" s="306" customFormat="1" ht="15.75">
      <c r="A3" s="795" t="s">
        <v>634</v>
      </c>
      <c r="B3" s="795"/>
      <c r="C3" s="795"/>
      <c r="D3" s="795"/>
      <c r="E3" s="795"/>
      <c r="F3" s="795"/>
      <c r="G3" s="795"/>
      <c r="H3" s="795"/>
      <c r="I3" s="795"/>
      <c r="J3" s="305"/>
      <c r="K3" s="305"/>
      <c r="L3" s="305"/>
      <c r="M3" s="305"/>
    </row>
    <row r="4" spans="2:13" s="306" customFormat="1" ht="13.5" thickBot="1"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s="306" customFormat="1" ht="13.5" thickBot="1">
      <c r="A5" s="307"/>
      <c r="B5" s="308">
        <v>2015</v>
      </c>
      <c r="C5" s="308">
        <v>2016</v>
      </c>
      <c r="D5" s="308">
        <v>2017</v>
      </c>
      <c r="E5" s="308">
        <v>2018</v>
      </c>
      <c r="F5" s="308">
        <v>2019</v>
      </c>
      <c r="G5" s="308">
        <v>2020</v>
      </c>
      <c r="H5" s="308">
        <v>2021</v>
      </c>
      <c r="I5" s="309">
        <v>2022</v>
      </c>
      <c r="J5" s="305"/>
      <c r="K5" s="305"/>
      <c r="L5" s="305"/>
      <c r="M5" s="305"/>
    </row>
    <row r="6" spans="1:13" s="306" customFormat="1" ht="25.5">
      <c r="A6" s="310" t="s">
        <v>509</v>
      </c>
      <c r="B6" s="397">
        <v>767</v>
      </c>
      <c r="C6" s="397">
        <f aca="true" t="shared" si="0" ref="C6:I6">B6-B12</f>
        <v>667</v>
      </c>
      <c r="D6" s="397">
        <f t="shared" si="0"/>
        <v>608</v>
      </c>
      <c r="E6" s="397">
        <f t="shared" si="0"/>
        <v>558</v>
      </c>
      <c r="F6" s="397">
        <f t="shared" si="0"/>
        <v>508</v>
      </c>
      <c r="G6" s="397">
        <f t="shared" si="0"/>
        <v>458</v>
      </c>
      <c r="H6" s="397">
        <f t="shared" si="0"/>
        <v>428</v>
      </c>
      <c r="I6" s="398">
        <f t="shared" si="0"/>
        <v>408</v>
      </c>
      <c r="J6" s="305"/>
      <c r="K6" s="305"/>
      <c r="L6" s="305"/>
      <c r="M6" s="305"/>
    </row>
    <row r="7" spans="1:13" s="306" customFormat="1" ht="12.75">
      <c r="A7" s="311" t="s">
        <v>510</v>
      </c>
      <c r="B7" s="443">
        <v>368</v>
      </c>
      <c r="C7" s="443">
        <v>368</v>
      </c>
      <c r="D7" s="443">
        <v>368</v>
      </c>
      <c r="E7" s="443">
        <v>368</v>
      </c>
      <c r="F7" s="443">
        <v>323</v>
      </c>
      <c r="G7" s="443">
        <v>296</v>
      </c>
      <c r="H7" s="443">
        <v>278</v>
      </c>
      <c r="I7" s="444">
        <v>260</v>
      </c>
      <c r="J7" s="305"/>
      <c r="K7" s="305"/>
      <c r="L7" s="305"/>
      <c r="M7" s="305"/>
    </row>
    <row r="8" spans="1:13" s="306" customFormat="1" ht="25.5">
      <c r="A8" s="311" t="s">
        <v>511</v>
      </c>
      <c r="B8" s="445">
        <f>B7*1.2</f>
        <v>441.59999999999997</v>
      </c>
      <c r="C8" s="445">
        <f aca="true" t="shared" si="1" ref="C8:I8">C7*1.2</f>
        <v>441.59999999999997</v>
      </c>
      <c r="D8" s="445">
        <f t="shared" si="1"/>
        <v>441.59999999999997</v>
      </c>
      <c r="E8" s="445">
        <f t="shared" si="1"/>
        <v>441.59999999999997</v>
      </c>
      <c r="F8" s="445">
        <f t="shared" si="1"/>
        <v>387.59999999999997</v>
      </c>
      <c r="G8" s="445">
        <f t="shared" si="1"/>
        <v>355.2</v>
      </c>
      <c r="H8" s="445">
        <f t="shared" si="1"/>
        <v>333.59999999999997</v>
      </c>
      <c r="I8" s="446">
        <f t="shared" si="1"/>
        <v>312</v>
      </c>
      <c r="J8" s="305"/>
      <c r="K8" s="305"/>
      <c r="L8" s="305"/>
      <c r="M8" s="305"/>
    </row>
    <row r="9" spans="1:13" s="306" customFormat="1" ht="25.5">
      <c r="A9" s="311" t="s">
        <v>512</v>
      </c>
      <c r="B9" s="443">
        <v>444</v>
      </c>
      <c r="C9" s="443">
        <v>449</v>
      </c>
      <c r="D9" s="443">
        <v>446</v>
      </c>
      <c r="E9" s="443">
        <v>440</v>
      </c>
      <c r="F9" s="443">
        <v>397</v>
      </c>
      <c r="G9" s="443">
        <v>363</v>
      </c>
      <c r="H9" s="443">
        <v>343</v>
      </c>
      <c r="I9" s="444">
        <v>313</v>
      </c>
      <c r="J9" s="305"/>
      <c r="K9" s="305"/>
      <c r="L9" s="305"/>
      <c r="M9" s="305"/>
    </row>
    <row r="10" spans="1:13" s="306" customFormat="1" ht="25.5">
      <c r="A10" s="311" t="s">
        <v>513</v>
      </c>
      <c r="B10" s="443">
        <v>131</v>
      </c>
      <c r="C10" s="443">
        <v>81</v>
      </c>
      <c r="D10" s="443">
        <v>32</v>
      </c>
      <c r="E10" s="443">
        <v>110</v>
      </c>
      <c r="F10" s="443">
        <v>12</v>
      </c>
      <c r="G10" s="443">
        <v>46</v>
      </c>
      <c r="H10" s="443">
        <v>60</v>
      </c>
      <c r="I10" s="444">
        <v>50</v>
      </c>
      <c r="J10" s="305"/>
      <c r="K10" s="305"/>
      <c r="L10" s="305"/>
      <c r="M10" s="305"/>
    </row>
    <row r="11" spans="1:13" s="306" customFormat="1" ht="25.5">
      <c r="A11" s="311" t="s">
        <v>514</v>
      </c>
      <c r="B11" s="443">
        <f>B9-B7</f>
        <v>76</v>
      </c>
      <c r="C11" s="443">
        <f aca="true" t="shared" si="2" ref="C11:I11">C9-C7</f>
        <v>81</v>
      </c>
      <c r="D11" s="443">
        <f t="shared" si="2"/>
        <v>78</v>
      </c>
      <c r="E11" s="443">
        <f t="shared" si="2"/>
        <v>72</v>
      </c>
      <c r="F11" s="443">
        <f t="shared" si="2"/>
        <v>74</v>
      </c>
      <c r="G11" s="443">
        <f t="shared" si="2"/>
        <v>67</v>
      </c>
      <c r="H11" s="443">
        <f t="shared" si="2"/>
        <v>65</v>
      </c>
      <c r="I11" s="444">
        <f t="shared" si="2"/>
        <v>53</v>
      </c>
      <c r="J11" s="305"/>
      <c r="K11" s="305"/>
      <c r="L11" s="305"/>
      <c r="M11" s="305"/>
    </row>
    <row r="12" spans="1:13" s="306" customFormat="1" ht="26.25" thickBot="1">
      <c r="A12" s="312" t="s">
        <v>515</v>
      </c>
      <c r="B12" s="447">
        <v>100</v>
      </c>
      <c r="C12" s="447">
        <v>59</v>
      </c>
      <c r="D12" s="447">
        <v>50</v>
      </c>
      <c r="E12" s="447">
        <v>50</v>
      </c>
      <c r="F12" s="447">
        <v>50</v>
      </c>
      <c r="G12" s="447">
        <v>30</v>
      </c>
      <c r="H12" s="447">
        <v>20</v>
      </c>
      <c r="I12" s="448">
        <v>0</v>
      </c>
      <c r="J12" s="305"/>
      <c r="K12" s="305"/>
      <c r="L12" s="305"/>
      <c r="M12" s="305"/>
    </row>
    <row r="13" spans="1:13" s="306" customFormat="1" ht="12.75">
      <c r="A13" s="449"/>
      <c r="B13" s="450"/>
      <c r="C13" s="450"/>
      <c r="D13" s="451" t="s">
        <v>598</v>
      </c>
      <c r="E13" s="451"/>
      <c r="F13" s="451" t="s">
        <v>598</v>
      </c>
      <c r="G13" s="451" t="s">
        <v>599</v>
      </c>
      <c r="H13" s="450"/>
      <c r="I13" s="450"/>
      <c r="J13" s="305"/>
      <c r="K13" s="305"/>
      <c r="L13" s="305"/>
      <c r="M13" s="305"/>
    </row>
    <row r="14" spans="1:13" s="313" customFormat="1" ht="12.75">
      <c r="A14" s="449"/>
      <c r="B14" s="450"/>
      <c r="C14" s="450"/>
      <c r="D14" s="452">
        <v>12000000</v>
      </c>
      <c r="E14" s="452"/>
      <c r="F14" s="452">
        <v>12000000</v>
      </c>
      <c r="G14" s="452">
        <v>6000000</v>
      </c>
      <c r="H14" s="450"/>
      <c r="I14" s="450"/>
      <c r="J14" s="314"/>
      <c r="K14" s="314"/>
      <c r="L14" s="314"/>
      <c r="M14" s="314"/>
    </row>
    <row r="15" spans="1:13" s="306" customFormat="1" ht="12.75">
      <c r="A15" s="449"/>
      <c r="B15" s="450"/>
      <c r="C15" s="450"/>
      <c r="D15" s="450"/>
      <c r="E15" s="450"/>
      <c r="F15" s="450"/>
      <c r="G15" s="450"/>
      <c r="H15" s="450"/>
      <c r="I15" s="450"/>
      <c r="J15" s="305"/>
      <c r="K15" s="305"/>
      <c r="L15" s="305"/>
      <c r="M15" s="305"/>
    </row>
    <row r="16" spans="1:13" s="315" customFormat="1" ht="13.5" customHeight="1">
      <c r="A16" s="642"/>
      <c r="B16" s="643">
        <v>14526876.41</v>
      </c>
      <c r="C16" s="644">
        <v>12681745</v>
      </c>
      <c r="D16" s="643">
        <f>20*D18+12*D20</f>
        <v>12800000</v>
      </c>
      <c r="E16" s="643">
        <f>80*D19+30*D18</f>
        <v>12400000</v>
      </c>
      <c r="F16" s="643">
        <f>12*D20</f>
        <v>12000000</v>
      </c>
      <c r="G16" s="643">
        <f>40*D18+6*D20</f>
        <v>7600000</v>
      </c>
      <c r="H16" s="643">
        <f>30*D18+30*D19</f>
        <v>5400000</v>
      </c>
      <c r="I16" s="643">
        <f>30*D18+20*D19</f>
        <v>4000000</v>
      </c>
      <c r="J16" s="305"/>
      <c r="K16" s="305"/>
      <c r="L16" s="305"/>
      <c r="M16" s="305"/>
    </row>
    <row r="17" spans="1:13" s="315" customFormat="1" ht="13.5" customHeight="1">
      <c r="A17" s="796" t="s">
        <v>600</v>
      </c>
      <c r="B17" s="796"/>
      <c r="C17" s="796"/>
      <c r="D17" s="643">
        <f>D16*1.04</f>
        <v>13312000</v>
      </c>
      <c r="E17" s="643">
        <f>E16*1.06</f>
        <v>13144000</v>
      </c>
      <c r="F17" s="643">
        <f>F16*1.08</f>
        <v>12960000</v>
      </c>
      <c r="G17" s="643">
        <f>G16*1.1</f>
        <v>8360000.000000001</v>
      </c>
      <c r="H17" s="643">
        <f>H16*1.12</f>
        <v>6048000.000000001</v>
      </c>
      <c r="I17" s="643">
        <f>I16*1.14</f>
        <v>4560000</v>
      </c>
      <c r="J17" s="305"/>
      <c r="K17" s="305"/>
      <c r="L17" s="305"/>
      <c r="M17" s="305"/>
    </row>
    <row r="18" spans="1:13" s="306" customFormat="1" ht="12.75">
      <c r="A18" s="453" t="s">
        <v>516</v>
      </c>
      <c r="B18" s="793" t="s">
        <v>517</v>
      </c>
      <c r="C18" s="793"/>
      <c r="D18" s="454">
        <v>40000</v>
      </c>
      <c r="E18" s="455"/>
      <c r="F18" s="455"/>
      <c r="G18" s="455"/>
      <c r="H18" s="455"/>
      <c r="I18" s="455"/>
      <c r="J18" s="305"/>
      <c r="K18" s="305"/>
      <c r="L18" s="305"/>
      <c r="M18" s="305"/>
    </row>
    <row r="19" spans="1:13" s="306" customFormat="1" ht="12.75">
      <c r="A19" s="453" t="s">
        <v>518</v>
      </c>
      <c r="B19" s="793" t="s">
        <v>519</v>
      </c>
      <c r="C19" s="793"/>
      <c r="D19" s="454">
        <v>140000</v>
      </c>
      <c r="E19" s="455"/>
      <c r="F19" s="455"/>
      <c r="G19" s="455"/>
      <c r="H19" s="455"/>
      <c r="I19" s="455"/>
      <c r="J19" s="305"/>
      <c r="K19" s="305"/>
      <c r="L19" s="305"/>
      <c r="M19" s="305"/>
    </row>
    <row r="20" spans="1:9" ht="12.75">
      <c r="A20" s="456" t="s">
        <v>520</v>
      </c>
      <c r="B20" s="457" t="s">
        <v>521</v>
      </c>
      <c r="C20" s="457"/>
      <c r="D20" s="454">
        <v>1000000</v>
      </c>
      <c r="E20" s="455"/>
      <c r="F20" s="455"/>
      <c r="G20" s="455"/>
      <c r="H20" s="455"/>
      <c r="I20" s="455"/>
    </row>
    <row r="21" spans="1:9" ht="12.75">
      <c r="A21" s="459"/>
      <c r="B21" s="460">
        <v>2015</v>
      </c>
      <c r="C21" s="460">
        <v>2016</v>
      </c>
      <c r="D21" s="460">
        <v>2017</v>
      </c>
      <c r="E21" s="460">
        <v>2018</v>
      </c>
      <c r="F21" s="460">
        <v>2019</v>
      </c>
      <c r="G21" s="460">
        <v>2020</v>
      </c>
      <c r="H21" s="460">
        <v>2021</v>
      </c>
      <c r="I21" s="460">
        <v>2022</v>
      </c>
    </row>
    <row r="22" ht="12.75">
      <c r="A22" s="316" t="s">
        <v>525</v>
      </c>
    </row>
    <row r="23" spans="1:10" ht="12.75">
      <c r="A23" s="316" t="s">
        <v>405</v>
      </c>
      <c r="B23" s="316">
        <v>100</v>
      </c>
      <c r="C23" s="316">
        <f aca="true" t="shared" si="3" ref="C23:I23">C12</f>
        <v>59</v>
      </c>
      <c r="D23" s="316">
        <f t="shared" si="3"/>
        <v>50</v>
      </c>
      <c r="E23" s="316">
        <f t="shared" si="3"/>
        <v>50</v>
      </c>
      <c r="F23" s="316">
        <f t="shared" si="3"/>
        <v>50</v>
      </c>
      <c r="G23" s="316">
        <f t="shared" si="3"/>
        <v>30</v>
      </c>
      <c r="H23" s="316">
        <f t="shared" si="3"/>
        <v>20</v>
      </c>
      <c r="I23" s="316">
        <f t="shared" si="3"/>
        <v>0</v>
      </c>
      <c r="J23" s="645">
        <f>+SUM(B23:I23)</f>
        <v>359</v>
      </c>
    </row>
    <row r="24" spans="1:10" ht="12.75">
      <c r="A24" s="316" t="s">
        <v>522</v>
      </c>
      <c r="B24" s="316"/>
      <c r="C24" s="316"/>
      <c r="D24" s="316"/>
      <c r="E24" s="316"/>
      <c r="F24" s="316"/>
      <c r="G24" s="316">
        <f>G25*1.1</f>
        <v>346500</v>
      </c>
      <c r="H24" s="316">
        <f>H25*1.1</f>
        <v>231000.00000000003</v>
      </c>
      <c r="I24" s="316"/>
      <c r="J24" s="646"/>
    </row>
    <row r="25" spans="1:10" ht="12.75">
      <c r="A25" s="316" t="s">
        <v>523</v>
      </c>
      <c r="B25" s="316"/>
      <c r="C25" s="316">
        <f>25500*C12</f>
        <v>1504500</v>
      </c>
      <c r="D25" s="316">
        <f>20500*D12</f>
        <v>1025000</v>
      </c>
      <c r="E25" s="316">
        <f>15500*E12</f>
        <v>775000</v>
      </c>
      <c r="F25" s="316">
        <f>10500*F12</f>
        <v>525000</v>
      </c>
      <c r="G25" s="316">
        <f>10500*G23</f>
        <v>315000</v>
      </c>
      <c r="H25" s="316">
        <f>10500*H23</f>
        <v>210000</v>
      </c>
      <c r="I25" s="316">
        <f>10500*I23</f>
        <v>0</v>
      </c>
      <c r="J25" s="646"/>
    </row>
    <row r="26" ht="12.75">
      <c r="J26" s="646"/>
    </row>
    <row r="27" ht="12.75">
      <c r="J27" s="646"/>
    </row>
    <row r="28" spans="1:10" ht="12.75">
      <c r="A28" s="316" t="s">
        <v>524</v>
      </c>
      <c r="J28" s="646"/>
    </row>
    <row r="29" spans="1:10" ht="12.75">
      <c r="A29" s="316" t="s">
        <v>405</v>
      </c>
      <c r="B29" s="461">
        <v>67</v>
      </c>
      <c r="C29" s="316">
        <f>+D80</f>
        <v>10</v>
      </c>
      <c r="D29" s="316">
        <v>10</v>
      </c>
      <c r="E29" s="316">
        <f>+F80</f>
        <v>0</v>
      </c>
      <c r="F29" s="316">
        <f>+G80</f>
        <v>12</v>
      </c>
      <c r="G29" s="316">
        <f>+H80</f>
        <v>4</v>
      </c>
      <c r="H29" s="316">
        <f>+I80</f>
        <v>5</v>
      </c>
      <c r="I29" s="316">
        <f>+J80</f>
        <v>5</v>
      </c>
      <c r="J29" s="645">
        <f>+SUM(B29:I29)</f>
        <v>113</v>
      </c>
    </row>
    <row r="30" spans="1:10" ht="12.75">
      <c r="A30" s="316" t="s">
        <v>522</v>
      </c>
      <c r="B30" s="316"/>
      <c r="C30" s="316"/>
      <c r="D30" s="316"/>
      <c r="E30" s="316"/>
      <c r="F30" s="316">
        <f>F31*1.1</f>
        <v>462739.2</v>
      </c>
      <c r="G30" s="316">
        <f>G31*1.1</f>
        <v>154246.40000000002</v>
      </c>
      <c r="H30" s="316">
        <f>H31*1.1</f>
        <v>192808.00000000003</v>
      </c>
      <c r="I30" s="316">
        <f>I31*1.1</f>
        <v>192808.00000000003</v>
      </c>
      <c r="J30" s="646"/>
    </row>
    <row r="31" spans="1:9" ht="12.75">
      <c r="A31" s="316" t="s">
        <v>523</v>
      </c>
      <c r="B31" s="316"/>
      <c r="C31" s="316">
        <v>613785</v>
      </c>
      <c r="D31" s="316">
        <f>45056*D29</f>
        <v>450560</v>
      </c>
      <c r="E31" s="316">
        <f>35056*E29</f>
        <v>0</v>
      </c>
      <c r="F31" s="316">
        <f>35056*F29</f>
        <v>420672</v>
      </c>
      <c r="G31" s="316">
        <f>35056*G29</f>
        <v>140224</v>
      </c>
      <c r="H31" s="316">
        <f>35056*H29</f>
        <v>175280</v>
      </c>
      <c r="I31" s="316">
        <f>35056*I29</f>
        <v>175280</v>
      </c>
    </row>
    <row r="33" spans="1:9" ht="39">
      <c r="A33" s="353" t="s">
        <v>539</v>
      </c>
      <c r="B33" s="316">
        <f>2206</f>
        <v>2206</v>
      </c>
      <c r="C33" s="316">
        <v>4944</v>
      </c>
      <c r="D33" s="316">
        <v>50</v>
      </c>
      <c r="E33" s="316">
        <v>310</v>
      </c>
      <c r="F33" s="316">
        <v>920</v>
      </c>
      <c r="G33" s="316">
        <v>324</v>
      </c>
      <c r="H33" s="316">
        <v>800</v>
      </c>
      <c r="I33" s="316">
        <v>655</v>
      </c>
    </row>
    <row r="34" spans="1:9" ht="12.75">
      <c r="A34" s="353"/>
      <c r="B34" s="316"/>
      <c r="C34" s="316"/>
      <c r="D34" s="316"/>
      <c r="E34" s="316"/>
      <c r="F34" s="316"/>
      <c r="G34" s="316"/>
      <c r="H34" s="316"/>
      <c r="I34" s="316"/>
    </row>
    <row r="35" spans="1:11" ht="26.25">
      <c r="A35" s="353" t="s">
        <v>540</v>
      </c>
      <c r="B35" s="316">
        <v>2680</v>
      </c>
      <c r="C35" s="316">
        <v>4203</v>
      </c>
      <c r="D35" s="316">
        <v>5650</v>
      </c>
      <c r="E35" s="316">
        <f>5900</f>
        <v>5900</v>
      </c>
      <c r="F35" s="316">
        <v>4886</v>
      </c>
      <c r="G35" s="316">
        <v>3110</v>
      </c>
      <c r="H35" s="316">
        <v>1650</v>
      </c>
      <c r="I35" s="316">
        <f>300+900</f>
        <v>1200</v>
      </c>
      <c r="J35" s="316"/>
      <c r="K35" s="2"/>
    </row>
    <row r="37" spans="1:9" ht="12.75">
      <c r="A37" s="354" t="s">
        <v>522</v>
      </c>
      <c r="B37" s="355">
        <f>(B24+B30)/1000+B33+B35</f>
        <v>4886</v>
      </c>
      <c r="C37" s="355">
        <f aca="true" t="shared" si="4" ref="C37:I37">(C24+C30)/1000+C33+C35</f>
        <v>9147</v>
      </c>
      <c r="D37" s="355">
        <f t="shared" si="4"/>
        <v>5700</v>
      </c>
      <c r="E37" s="355">
        <f t="shared" si="4"/>
        <v>6210</v>
      </c>
      <c r="F37" s="355">
        <f>(F24+F30)/1000+F33+F35</f>
        <v>6268.7392</v>
      </c>
      <c r="G37" s="355">
        <f t="shared" si="4"/>
        <v>3934.7464</v>
      </c>
      <c r="H37" s="355">
        <f t="shared" si="4"/>
        <v>2873.808</v>
      </c>
      <c r="I37" s="356">
        <f t="shared" si="4"/>
        <v>2047.808</v>
      </c>
    </row>
    <row r="38" spans="1:9" ht="12.75">
      <c r="A38" s="357" t="s">
        <v>523</v>
      </c>
      <c r="B38" s="358">
        <f>(+B25+B31)/1000</f>
        <v>0</v>
      </c>
      <c r="C38" s="358">
        <f aca="true" t="shared" si="5" ref="C38:I38">(+C25+C31)/1000</f>
        <v>2118.285</v>
      </c>
      <c r="D38" s="358">
        <f t="shared" si="5"/>
        <v>1475.56</v>
      </c>
      <c r="E38" s="358">
        <f t="shared" si="5"/>
        <v>775</v>
      </c>
      <c r="F38" s="358">
        <f t="shared" si="5"/>
        <v>945.672</v>
      </c>
      <c r="G38" s="358">
        <f t="shared" si="5"/>
        <v>455.224</v>
      </c>
      <c r="H38" s="358">
        <f t="shared" si="5"/>
        <v>385.28</v>
      </c>
      <c r="I38" s="359">
        <f t="shared" si="5"/>
        <v>175.28</v>
      </c>
    </row>
    <row r="40" spans="3:11" ht="20.25" customHeight="1">
      <c r="C40" s="337">
        <v>2015</v>
      </c>
      <c r="D40" s="337">
        <v>2016</v>
      </c>
      <c r="E40" s="337">
        <v>2017</v>
      </c>
      <c r="F40" s="337">
        <v>2018</v>
      </c>
      <c r="G40" s="337">
        <v>2019</v>
      </c>
      <c r="H40" s="337">
        <v>2020</v>
      </c>
      <c r="I40" s="337">
        <v>2021</v>
      </c>
      <c r="J40" s="337">
        <v>2022</v>
      </c>
      <c r="K40" s="97"/>
    </row>
    <row r="41" spans="1:10" ht="12.75">
      <c r="A41" s="338" t="s">
        <v>526</v>
      </c>
      <c r="B41" s="339" t="s">
        <v>527</v>
      </c>
      <c r="C41" s="339">
        <v>119</v>
      </c>
      <c r="D41" s="339">
        <f>C41-C73+6</f>
        <v>108</v>
      </c>
      <c r="E41" s="339">
        <f aca="true" t="shared" si="6" ref="E41:J45">D41-D73</f>
        <v>108</v>
      </c>
      <c r="F41" s="339">
        <f t="shared" si="6"/>
        <v>108</v>
      </c>
      <c r="G41" s="339">
        <f>F41-G73</f>
        <v>101</v>
      </c>
      <c r="H41" s="339">
        <f>G41-H73</f>
        <v>97</v>
      </c>
      <c r="I41" s="339">
        <f>H41-I73</f>
        <v>92</v>
      </c>
      <c r="J41" s="347">
        <f>I41-J73</f>
        <v>87</v>
      </c>
    </row>
    <row r="42" spans="1:10" ht="12.75">
      <c r="A42" s="340"/>
      <c r="B42" s="341" t="s">
        <v>528</v>
      </c>
      <c r="C42" s="341">
        <v>19</v>
      </c>
      <c r="D42" s="341">
        <f>C42-C74+2</f>
        <v>19</v>
      </c>
      <c r="E42" s="341">
        <f t="shared" si="6"/>
        <v>19</v>
      </c>
      <c r="F42" s="341">
        <f t="shared" si="6"/>
        <v>19</v>
      </c>
      <c r="G42" s="341">
        <f t="shared" si="6"/>
        <v>19</v>
      </c>
      <c r="H42" s="341">
        <f t="shared" si="6"/>
        <v>19</v>
      </c>
      <c r="I42" s="341">
        <f t="shared" si="6"/>
        <v>19</v>
      </c>
      <c r="J42" s="342">
        <f t="shared" si="6"/>
        <v>19</v>
      </c>
    </row>
    <row r="43" spans="1:10" ht="12.75">
      <c r="A43" s="340"/>
      <c r="B43" s="341" t="s">
        <v>529</v>
      </c>
      <c r="C43" s="341">
        <v>60</v>
      </c>
      <c r="D43" s="341">
        <f>C43-C75</f>
        <v>28</v>
      </c>
      <c r="E43" s="341">
        <f>D43-D75</f>
        <v>18</v>
      </c>
      <c r="F43" s="341">
        <f t="shared" si="6"/>
        <v>18</v>
      </c>
      <c r="G43" s="341">
        <f t="shared" si="6"/>
        <v>18</v>
      </c>
      <c r="H43" s="341">
        <f t="shared" si="6"/>
        <v>18</v>
      </c>
      <c r="I43" s="341">
        <f t="shared" si="6"/>
        <v>18</v>
      </c>
      <c r="J43" s="342">
        <f t="shared" si="6"/>
        <v>18</v>
      </c>
    </row>
    <row r="44" spans="1:10" ht="12.75">
      <c r="A44" s="340"/>
      <c r="B44" s="341" t="s">
        <v>530</v>
      </c>
      <c r="C44" s="341">
        <v>55</v>
      </c>
      <c r="D44" s="341">
        <f>C44-C76+1</f>
        <v>30</v>
      </c>
      <c r="E44" s="341">
        <f t="shared" si="6"/>
        <v>30</v>
      </c>
      <c r="F44" s="341">
        <f t="shared" si="6"/>
        <v>30</v>
      </c>
      <c r="G44" s="341">
        <f>F44-F76</f>
        <v>30</v>
      </c>
      <c r="H44" s="341">
        <f>G44-G76</f>
        <v>25</v>
      </c>
      <c r="I44" s="341">
        <v>25</v>
      </c>
      <c r="J44" s="342">
        <v>25</v>
      </c>
    </row>
    <row r="45" spans="1:10" ht="12.75">
      <c r="A45" s="340"/>
      <c r="B45" s="341" t="s">
        <v>531</v>
      </c>
      <c r="C45" s="341">
        <v>25</v>
      </c>
      <c r="D45" s="341">
        <f>C45-C77</f>
        <v>25</v>
      </c>
      <c r="E45" s="341">
        <f t="shared" si="6"/>
        <v>25</v>
      </c>
      <c r="F45" s="341">
        <f t="shared" si="6"/>
        <v>25</v>
      </c>
      <c r="G45" s="341">
        <f t="shared" si="6"/>
        <v>25</v>
      </c>
      <c r="H45" s="341">
        <f t="shared" si="6"/>
        <v>25</v>
      </c>
      <c r="I45" s="341">
        <f t="shared" si="6"/>
        <v>25</v>
      </c>
      <c r="J45" s="342">
        <f t="shared" si="6"/>
        <v>25</v>
      </c>
    </row>
    <row r="46" spans="1:10" ht="12.75">
      <c r="A46" s="340"/>
      <c r="B46" s="639" t="s">
        <v>532</v>
      </c>
      <c r="C46" s="639"/>
      <c r="D46" s="639"/>
      <c r="E46" s="639"/>
      <c r="F46" s="639"/>
      <c r="G46" s="639">
        <v>8</v>
      </c>
      <c r="H46" s="639">
        <v>16</v>
      </c>
      <c r="I46" s="639">
        <v>16</v>
      </c>
      <c r="J46" s="640">
        <v>16</v>
      </c>
    </row>
    <row r="47" spans="1:10" ht="12.75">
      <c r="A47" s="340"/>
      <c r="B47" s="639" t="s">
        <v>533</v>
      </c>
      <c r="C47" s="639"/>
      <c r="D47" s="639"/>
      <c r="E47" s="639"/>
      <c r="F47" s="639"/>
      <c r="G47" s="639">
        <v>10</v>
      </c>
      <c r="H47" s="639">
        <f>10+6</f>
        <v>16</v>
      </c>
      <c r="I47" s="639">
        <f>16+7</f>
        <v>23</v>
      </c>
      <c r="J47" s="640">
        <f>23+7</f>
        <v>30</v>
      </c>
    </row>
    <row r="48" spans="1:10" ht="12.75">
      <c r="A48" s="343"/>
      <c r="B48" s="344" t="s">
        <v>4</v>
      </c>
      <c r="C48" s="345">
        <f aca="true" t="shared" si="7" ref="C48:J48">SUM(C41:C47)</f>
        <v>278</v>
      </c>
      <c r="D48" s="345">
        <f t="shared" si="7"/>
        <v>210</v>
      </c>
      <c r="E48" s="345">
        <f t="shared" si="7"/>
        <v>200</v>
      </c>
      <c r="F48" s="345">
        <f t="shared" si="7"/>
        <v>200</v>
      </c>
      <c r="G48" s="345">
        <f t="shared" si="7"/>
        <v>211</v>
      </c>
      <c r="H48" s="345">
        <f t="shared" si="7"/>
        <v>216</v>
      </c>
      <c r="I48" s="345">
        <f t="shared" si="7"/>
        <v>218</v>
      </c>
      <c r="J48" s="346">
        <f t="shared" si="7"/>
        <v>220</v>
      </c>
    </row>
    <row r="49" spans="1:10" ht="16.5" customHeight="1" outlineLevel="1">
      <c r="A49" s="338" t="s">
        <v>534</v>
      </c>
      <c r="B49" s="339" t="s">
        <v>527</v>
      </c>
      <c r="C49" s="339">
        <v>81</v>
      </c>
      <c r="D49" s="339">
        <v>81</v>
      </c>
      <c r="E49" s="339">
        <v>81</v>
      </c>
      <c r="F49" s="339">
        <v>81</v>
      </c>
      <c r="G49" s="339">
        <f>81-7</f>
        <v>74</v>
      </c>
      <c r="H49" s="339">
        <v>79</v>
      </c>
      <c r="I49" s="339">
        <v>79</v>
      </c>
      <c r="J49" s="347">
        <v>79</v>
      </c>
    </row>
    <row r="50" spans="1:10" ht="12.75" outlineLevel="1">
      <c r="A50" s="340"/>
      <c r="B50" s="341" t="s">
        <v>528</v>
      </c>
      <c r="C50" s="341">
        <v>7</v>
      </c>
      <c r="D50" s="341">
        <v>7</v>
      </c>
      <c r="E50" s="341">
        <v>7</v>
      </c>
      <c r="F50" s="341">
        <v>7</v>
      </c>
      <c r="G50" s="341">
        <v>7</v>
      </c>
      <c r="H50" s="341">
        <v>7</v>
      </c>
      <c r="I50" s="341">
        <v>7</v>
      </c>
      <c r="J50" s="342">
        <v>7</v>
      </c>
    </row>
    <row r="51" spans="1:10" ht="12.75" outlineLevel="1">
      <c r="A51" s="340"/>
      <c r="B51" s="341" t="s">
        <v>529</v>
      </c>
      <c r="C51" s="341">
        <v>10</v>
      </c>
      <c r="D51" s="341">
        <v>10</v>
      </c>
      <c r="E51" s="341">
        <v>10</v>
      </c>
      <c r="F51" s="341">
        <v>10</v>
      </c>
      <c r="G51" s="341">
        <v>10</v>
      </c>
      <c r="H51" s="341">
        <v>10</v>
      </c>
      <c r="I51" s="341">
        <v>10</v>
      </c>
      <c r="J51" s="342">
        <v>10</v>
      </c>
    </row>
    <row r="52" spans="1:10" ht="12.75" outlineLevel="1">
      <c r="A52" s="340"/>
      <c r="B52" s="341" t="s">
        <v>530</v>
      </c>
      <c r="C52" s="341">
        <v>25</v>
      </c>
      <c r="D52" s="341">
        <v>25</v>
      </c>
      <c r="E52" s="341">
        <v>25</v>
      </c>
      <c r="F52" s="341">
        <v>25</v>
      </c>
      <c r="G52" s="341">
        <v>22</v>
      </c>
      <c r="H52" s="341">
        <v>21</v>
      </c>
      <c r="I52" s="341">
        <v>21</v>
      </c>
      <c r="J52" s="342">
        <v>21</v>
      </c>
    </row>
    <row r="53" spans="1:10" ht="12.75" outlineLevel="1">
      <c r="A53" s="340"/>
      <c r="B53" s="341" t="s">
        <v>531</v>
      </c>
      <c r="C53" s="341">
        <v>16</v>
      </c>
      <c r="D53" s="341">
        <v>16</v>
      </c>
      <c r="E53" s="341">
        <v>16</v>
      </c>
      <c r="F53" s="341">
        <v>16</v>
      </c>
      <c r="G53" s="341">
        <v>16</v>
      </c>
      <c r="H53" s="341">
        <v>16</v>
      </c>
      <c r="I53" s="341">
        <v>16</v>
      </c>
      <c r="J53" s="342">
        <v>16</v>
      </c>
    </row>
    <row r="54" spans="1:10" ht="12.75" outlineLevel="1">
      <c r="A54" s="340"/>
      <c r="B54" s="639" t="s">
        <v>532</v>
      </c>
      <c r="C54" s="639"/>
      <c r="D54" s="639"/>
      <c r="E54" s="639"/>
      <c r="F54" s="639"/>
      <c r="G54" s="639">
        <v>7</v>
      </c>
      <c r="H54" s="639">
        <v>15</v>
      </c>
      <c r="I54" s="639">
        <v>15</v>
      </c>
      <c r="J54" s="640">
        <v>15</v>
      </c>
    </row>
    <row r="55" spans="1:10" ht="12.75" outlineLevel="1">
      <c r="A55" s="340"/>
      <c r="B55" s="639" t="s">
        <v>533</v>
      </c>
      <c r="C55" s="639"/>
      <c r="D55" s="639"/>
      <c r="E55" s="639"/>
      <c r="F55" s="639"/>
      <c r="G55" s="639">
        <v>9</v>
      </c>
      <c r="H55" s="639">
        <f>9+5</f>
        <v>14</v>
      </c>
      <c r="I55" s="639">
        <f>14+6</f>
        <v>20</v>
      </c>
      <c r="J55" s="640">
        <v>26</v>
      </c>
    </row>
    <row r="56" spans="1:12" ht="12.75" outlineLevel="1">
      <c r="A56" s="343"/>
      <c r="B56" s="344" t="s">
        <v>4</v>
      </c>
      <c r="C56" s="348">
        <f aca="true" t="shared" si="8" ref="C56:J56">SUM(C49:C55)</f>
        <v>139</v>
      </c>
      <c r="D56" s="348">
        <f t="shared" si="8"/>
        <v>139</v>
      </c>
      <c r="E56" s="348">
        <f t="shared" si="8"/>
        <v>139</v>
      </c>
      <c r="F56" s="348">
        <f t="shared" si="8"/>
        <v>139</v>
      </c>
      <c r="G56" s="348">
        <f t="shared" si="8"/>
        <v>145</v>
      </c>
      <c r="H56" s="348">
        <f t="shared" si="8"/>
        <v>162</v>
      </c>
      <c r="I56" s="348">
        <f t="shared" si="8"/>
        <v>168</v>
      </c>
      <c r="J56" s="349">
        <f t="shared" si="8"/>
        <v>174</v>
      </c>
      <c r="L56" s="350"/>
    </row>
    <row r="57" spans="1:18" ht="12.75">
      <c r="A57" s="338" t="s">
        <v>535</v>
      </c>
      <c r="B57" s="339" t="s">
        <v>527</v>
      </c>
      <c r="C57" s="339">
        <v>96</v>
      </c>
      <c r="D57" s="339">
        <f>96+6</f>
        <v>102</v>
      </c>
      <c r="E57" s="339">
        <f>96+6</f>
        <v>102</v>
      </c>
      <c r="F57" s="339">
        <f>96+6</f>
        <v>102</v>
      </c>
      <c r="G57" s="339">
        <v>88</v>
      </c>
      <c r="H57" s="339">
        <v>87</v>
      </c>
      <c r="I57" s="339">
        <v>81</v>
      </c>
      <c r="J57" s="347">
        <v>76</v>
      </c>
      <c r="K57">
        <f>C41-C57-C65-C73</f>
        <v>0</v>
      </c>
      <c r="L57">
        <f aca="true" t="shared" si="9" ref="L57:R63">D41-D57-D65-D73</f>
        <v>0</v>
      </c>
      <c r="M57">
        <f t="shared" si="9"/>
        <v>0</v>
      </c>
      <c r="N57">
        <f t="shared" si="9"/>
        <v>0</v>
      </c>
      <c r="O57">
        <f t="shared" si="9"/>
        <v>0</v>
      </c>
      <c r="P57">
        <f t="shared" si="9"/>
        <v>0</v>
      </c>
      <c r="Q57">
        <f t="shared" si="9"/>
        <v>0</v>
      </c>
      <c r="R57">
        <f t="shared" si="9"/>
        <v>0</v>
      </c>
    </row>
    <row r="58" spans="1:18" ht="12.75">
      <c r="A58" s="340"/>
      <c r="B58" s="341" t="s">
        <v>528</v>
      </c>
      <c r="C58" s="341">
        <v>13</v>
      </c>
      <c r="D58" s="341">
        <f>13+2</f>
        <v>15</v>
      </c>
      <c r="E58" s="341">
        <f aca="true" t="shared" si="10" ref="E58:J58">13+2</f>
        <v>15</v>
      </c>
      <c r="F58" s="341">
        <f t="shared" si="10"/>
        <v>15</v>
      </c>
      <c r="G58" s="341">
        <f t="shared" si="10"/>
        <v>15</v>
      </c>
      <c r="H58" s="341">
        <f t="shared" si="10"/>
        <v>15</v>
      </c>
      <c r="I58" s="341">
        <f t="shared" si="10"/>
        <v>15</v>
      </c>
      <c r="J58" s="342">
        <f t="shared" si="10"/>
        <v>15</v>
      </c>
      <c r="K58">
        <f aca="true" t="shared" si="11" ref="K58:K63">C42-C58-C66-C74</f>
        <v>0</v>
      </c>
      <c r="L58">
        <f t="shared" si="9"/>
        <v>0</v>
      </c>
      <c r="M58">
        <f t="shared" si="9"/>
        <v>0</v>
      </c>
      <c r="N58">
        <f t="shared" si="9"/>
        <v>0</v>
      </c>
      <c r="O58">
        <f t="shared" si="9"/>
        <v>0</v>
      </c>
      <c r="P58">
        <f t="shared" si="9"/>
        <v>0</v>
      </c>
      <c r="Q58">
        <f t="shared" si="9"/>
        <v>0</v>
      </c>
      <c r="R58">
        <f t="shared" si="9"/>
        <v>0</v>
      </c>
    </row>
    <row r="59" spans="1:18" ht="12.75">
      <c r="A59" s="340"/>
      <c r="B59" s="341" t="s">
        <v>529</v>
      </c>
      <c r="C59" s="341">
        <v>25</v>
      </c>
      <c r="D59" s="341">
        <f>25-10</f>
        <v>15</v>
      </c>
      <c r="E59" s="341">
        <f>25-10</f>
        <v>15</v>
      </c>
      <c r="F59" s="341">
        <f>25-10</f>
        <v>15</v>
      </c>
      <c r="G59" s="341">
        <f>24-10</f>
        <v>14</v>
      </c>
      <c r="H59" s="341">
        <f>24-10</f>
        <v>14</v>
      </c>
      <c r="I59" s="341">
        <f>24-10</f>
        <v>14</v>
      </c>
      <c r="J59" s="342">
        <f>24-10</f>
        <v>14</v>
      </c>
      <c r="K59">
        <f t="shared" si="11"/>
        <v>0</v>
      </c>
      <c r="L59">
        <f t="shared" si="9"/>
        <v>0</v>
      </c>
      <c r="M59">
        <f>E43-E59-E67-E75</f>
        <v>0</v>
      </c>
      <c r="N59">
        <f t="shared" si="9"/>
        <v>0</v>
      </c>
      <c r="O59">
        <f t="shared" si="9"/>
        <v>0</v>
      </c>
      <c r="P59">
        <f t="shared" si="9"/>
        <v>0</v>
      </c>
      <c r="Q59">
        <f>I43-I59-I67-I75</f>
        <v>0</v>
      </c>
      <c r="R59">
        <f t="shared" si="9"/>
        <v>0</v>
      </c>
    </row>
    <row r="60" spans="1:18" ht="12.75">
      <c r="A60" s="340"/>
      <c r="B60" s="341" t="s">
        <v>530</v>
      </c>
      <c r="C60" s="341">
        <v>24</v>
      </c>
      <c r="D60" s="341">
        <v>25</v>
      </c>
      <c r="E60" s="341">
        <v>25</v>
      </c>
      <c r="F60" s="341">
        <v>25</v>
      </c>
      <c r="G60" s="341">
        <v>21</v>
      </c>
      <c r="H60" s="341">
        <v>21</v>
      </c>
      <c r="I60" s="341">
        <f>21</f>
        <v>21</v>
      </c>
      <c r="J60" s="342">
        <f>20+1</f>
        <v>21</v>
      </c>
      <c r="K60">
        <f t="shared" si="11"/>
        <v>0</v>
      </c>
      <c r="L60">
        <f t="shared" si="9"/>
        <v>0</v>
      </c>
      <c r="M60">
        <f t="shared" si="9"/>
        <v>0</v>
      </c>
      <c r="N60">
        <f>F44-F60-F68-F76</f>
        <v>0</v>
      </c>
      <c r="O60">
        <f>G44-G60-G68-G76</f>
        <v>0</v>
      </c>
      <c r="P60">
        <f>H44-H60-H68-H76</f>
        <v>0</v>
      </c>
      <c r="Q60">
        <f>I44-I60-I68-I76</f>
        <v>0</v>
      </c>
      <c r="R60">
        <f t="shared" si="9"/>
        <v>0</v>
      </c>
    </row>
    <row r="61" spans="1:18" ht="12.75">
      <c r="A61" s="340"/>
      <c r="B61" s="341" t="s">
        <v>531</v>
      </c>
      <c r="C61" s="341">
        <v>17</v>
      </c>
      <c r="D61" s="341">
        <v>19</v>
      </c>
      <c r="E61" s="341">
        <v>19</v>
      </c>
      <c r="F61" s="341">
        <v>19</v>
      </c>
      <c r="G61" s="341">
        <v>23</v>
      </c>
      <c r="H61" s="341">
        <v>23</v>
      </c>
      <c r="I61" s="341">
        <v>23</v>
      </c>
      <c r="J61" s="342">
        <v>23</v>
      </c>
      <c r="K61">
        <f t="shared" si="11"/>
        <v>0</v>
      </c>
      <c r="L61">
        <f t="shared" si="9"/>
        <v>0</v>
      </c>
      <c r="M61">
        <f t="shared" si="9"/>
        <v>0</v>
      </c>
      <c r="N61">
        <f t="shared" si="9"/>
        <v>0</v>
      </c>
      <c r="O61">
        <f t="shared" si="9"/>
        <v>0</v>
      </c>
      <c r="P61">
        <f t="shared" si="9"/>
        <v>0</v>
      </c>
      <c r="Q61">
        <f t="shared" si="9"/>
        <v>0</v>
      </c>
      <c r="R61">
        <f t="shared" si="9"/>
        <v>0</v>
      </c>
    </row>
    <row r="62" spans="1:18" ht="12.75">
      <c r="A62" s="340"/>
      <c r="B62" s="639" t="s">
        <v>532</v>
      </c>
      <c r="C62" s="639">
        <v>0</v>
      </c>
      <c r="D62" s="639">
        <v>0</v>
      </c>
      <c r="E62" s="639">
        <v>0</v>
      </c>
      <c r="F62" s="639">
        <v>0</v>
      </c>
      <c r="G62" s="639">
        <v>7</v>
      </c>
      <c r="H62" s="639">
        <v>15</v>
      </c>
      <c r="I62" s="639">
        <v>15</v>
      </c>
      <c r="J62" s="640">
        <v>15</v>
      </c>
      <c r="K62">
        <f t="shared" si="11"/>
        <v>0</v>
      </c>
      <c r="L62">
        <f t="shared" si="9"/>
        <v>0</v>
      </c>
      <c r="M62">
        <f t="shared" si="9"/>
        <v>0</v>
      </c>
      <c r="N62">
        <f t="shared" si="9"/>
        <v>0</v>
      </c>
      <c r="O62">
        <f t="shared" si="9"/>
        <v>0</v>
      </c>
      <c r="P62">
        <f t="shared" si="9"/>
        <v>0</v>
      </c>
      <c r="Q62">
        <f t="shared" si="9"/>
        <v>0</v>
      </c>
      <c r="R62">
        <f t="shared" si="9"/>
        <v>0</v>
      </c>
    </row>
    <row r="63" spans="1:18" ht="12.75">
      <c r="A63" s="340"/>
      <c r="B63" s="639" t="s">
        <v>533</v>
      </c>
      <c r="C63" s="639">
        <v>0</v>
      </c>
      <c r="D63" s="639">
        <v>0</v>
      </c>
      <c r="E63" s="639">
        <v>0</v>
      </c>
      <c r="F63" s="639">
        <v>0</v>
      </c>
      <c r="G63" s="639">
        <v>9</v>
      </c>
      <c r="H63" s="639">
        <f>9+5</f>
        <v>14</v>
      </c>
      <c r="I63" s="639">
        <f>14+6</f>
        <v>20</v>
      </c>
      <c r="J63" s="640">
        <v>26</v>
      </c>
      <c r="K63">
        <f t="shared" si="11"/>
        <v>0</v>
      </c>
      <c r="L63">
        <f t="shared" si="9"/>
        <v>0</v>
      </c>
      <c r="M63">
        <f t="shared" si="9"/>
        <v>0</v>
      </c>
      <c r="N63">
        <f t="shared" si="9"/>
        <v>0</v>
      </c>
      <c r="O63">
        <f t="shared" si="9"/>
        <v>0</v>
      </c>
      <c r="P63">
        <f t="shared" si="9"/>
        <v>0</v>
      </c>
      <c r="Q63">
        <f t="shared" si="9"/>
        <v>0</v>
      </c>
      <c r="R63">
        <f t="shared" si="9"/>
        <v>0</v>
      </c>
    </row>
    <row r="64" spans="1:10" ht="12.75">
      <c r="A64" s="343"/>
      <c r="B64" s="344" t="s">
        <v>4</v>
      </c>
      <c r="C64" s="348">
        <f aca="true" t="shared" si="12" ref="C64:J64">SUM(C57:C63)</f>
        <v>175</v>
      </c>
      <c r="D64" s="348">
        <f t="shared" si="12"/>
        <v>176</v>
      </c>
      <c r="E64" s="348">
        <f t="shared" si="12"/>
        <v>176</v>
      </c>
      <c r="F64" s="348">
        <f t="shared" si="12"/>
        <v>176</v>
      </c>
      <c r="G64" s="348">
        <f t="shared" si="12"/>
        <v>177</v>
      </c>
      <c r="H64" s="348">
        <f t="shared" si="12"/>
        <v>189</v>
      </c>
      <c r="I64" s="348">
        <f t="shared" si="12"/>
        <v>189</v>
      </c>
      <c r="J64" s="349">
        <f t="shared" si="12"/>
        <v>190</v>
      </c>
    </row>
    <row r="65" spans="1:10" ht="12.75">
      <c r="A65" s="338" t="s">
        <v>536</v>
      </c>
      <c r="B65" s="339" t="s">
        <v>527</v>
      </c>
      <c r="C65" s="339">
        <v>6</v>
      </c>
      <c r="D65" s="339">
        <v>6</v>
      </c>
      <c r="E65" s="339">
        <v>6</v>
      </c>
      <c r="F65" s="339">
        <v>6</v>
      </c>
      <c r="G65" s="339">
        <v>6</v>
      </c>
      <c r="H65" s="339">
        <v>6</v>
      </c>
      <c r="I65" s="339">
        <v>6</v>
      </c>
      <c r="J65" s="347">
        <v>6</v>
      </c>
    </row>
    <row r="66" spans="1:10" ht="12.75">
      <c r="A66" s="340"/>
      <c r="B66" s="341" t="s">
        <v>528</v>
      </c>
      <c r="C66" s="341">
        <v>4</v>
      </c>
      <c r="D66" s="341">
        <v>4</v>
      </c>
      <c r="E66" s="341">
        <v>4</v>
      </c>
      <c r="F66" s="341">
        <v>4</v>
      </c>
      <c r="G66" s="341">
        <v>4</v>
      </c>
      <c r="H66" s="341">
        <v>4</v>
      </c>
      <c r="I66" s="341">
        <v>4</v>
      </c>
      <c r="J66" s="342">
        <v>4</v>
      </c>
    </row>
    <row r="67" spans="1:10" ht="12.75">
      <c r="A67" s="340"/>
      <c r="B67" s="341" t="s">
        <v>529</v>
      </c>
      <c r="C67" s="341">
        <v>3</v>
      </c>
      <c r="D67" s="341">
        <v>3</v>
      </c>
      <c r="E67" s="341">
        <v>3</v>
      </c>
      <c r="F67" s="341">
        <v>3</v>
      </c>
      <c r="G67" s="341">
        <v>4</v>
      </c>
      <c r="H67" s="341">
        <v>4</v>
      </c>
      <c r="I67" s="341">
        <v>4</v>
      </c>
      <c r="J67" s="342">
        <v>4</v>
      </c>
    </row>
    <row r="68" spans="1:10" ht="12.75">
      <c r="A68" s="340"/>
      <c r="B68" s="341" t="s">
        <v>530</v>
      </c>
      <c r="C68" s="341">
        <v>5</v>
      </c>
      <c r="D68" s="341">
        <v>5</v>
      </c>
      <c r="E68" s="341">
        <v>5</v>
      </c>
      <c r="F68" s="341">
        <v>5</v>
      </c>
      <c r="G68" s="341">
        <v>4</v>
      </c>
      <c r="H68" s="341">
        <v>4</v>
      </c>
      <c r="I68" s="341">
        <v>4</v>
      </c>
      <c r="J68" s="342">
        <v>4</v>
      </c>
    </row>
    <row r="69" spans="1:10" ht="12.75">
      <c r="A69" s="340"/>
      <c r="B69" s="341" t="s">
        <v>531</v>
      </c>
      <c r="C69" s="341">
        <v>8</v>
      </c>
      <c r="D69" s="341">
        <v>6</v>
      </c>
      <c r="E69" s="341">
        <v>6</v>
      </c>
      <c r="F69" s="341">
        <v>6</v>
      </c>
      <c r="G69" s="341">
        <v>2</v>
      </c>
      <c r="H69" s="341">
        <v>2</v>
      </c>
      <c r="I69" s="341">
        <v>2</v>
      </c>
      <c r="J69" s="342">
        <v>2</v>
      </c>
    </row>
    <row r="70" spans="1:10" ht="12.75">
      <c r="A70" s="340"/>
      <c r="B70" s="639" t="s">
        <v>532</v>
      </c>
      <c r="C70" s="341"/>
      <c r="D70" s="341"/>
      <c r="E70" s="341"/>
      <c r="F70" s="341"/>
      <c r="G70" s="639">
        <v>1</v>
      </c>
      <c r="H70" s="639">
        <v>1</v>
      </c>
      <c r="I70" s="639">
        <v>1</v>
      </c>
      <c r="J70" s="640">
        <v>1</v>
      </c>
    </row>
    <row r="71" spans="1:10" ht="12.75">
      <c r="A71" s="340"/>
      <c r="B71" s="639" t="s">
        <v>533</v>
      </c>
      <c r="C71" s="341"/>
      <c r="D71" s="341"/>
      <c r="E71" s="341"/>
      <c r="F71" s="341"/>
      <c r="G71" s="639">
        <v>1</v>
      </c>
      <c r="H71" s="639">
        <f>1+1</f>
        <v>2</v>
      </c>
      <c r="I71" s="639">
        <f>2+1</f>
        <v>3</v>
      </c>
      <c r="J71" s="640">
        <v>4</v>
      </c>
    </row>
    <row r="72" spans="1:10" ht="12.75">
      <c r="A72" s="343"/>
      <c r="B72" s="344" t="s">
        <v>4</v>
      </c>
      <c r="C72" s="348">
        <f aca="true" t="shared" si="13" ref="C72:J72">SUM(C65:C71)</f>
        <v>26</v>
      </c>
      <c r="D72" s="348">
        <f t="shared" si="13"/>
        <v>24</v>
      </c>
      <c r="E72" s="348">
        <f t="shared" si="13"/>
        <v>24</v>
      </c>
      <c r="F72" s="348">
        <f t="shared" si="13"/>
        <v>24</v>
      </c>
      <c r="G72" s="348">
        <f t="shared" si="13"/>
        <v>22</v>
      </c>
      <c r="H72" s="348">
        <f t="shared" si="13"/>
        <v>23</v>
      </c>
      <c r="I72" s="348">
        <f t="shared" si="13"/>
        <v>24</v>
      </c>
      <c r="J72" s="349">
        <f t="shared" si="13"/>
        <v>25</v>
      </c>
    </row>
    <row r="73" spans="1:10" ht="12.75">
      <c r="A73" s="338" t="s">
        <v>537</v>
      </c>
      <c r="B73" s="339" t="s">
        <v>527</v>
      </c>
      <c r="C73" s="339">
        <v>17</v>
      </c>
      <c r="D73" s="339"/>
      <c r="E73" s="339"/>
      <c r="F73" s="339"/>
      <c r="G73" s="339">
        <v>7</v>
      </c>
      <c r="H73" s="339">
        <v>4</v>
      </c>
      <c r="I73" s="339">
        <v>5</v>
      </c>
      <c r="J73" s="347">
        <v>5</v>
      </c>
    </row>
    <row r="74" spans="1:10" ht="12.75">
      <c r="A74" s="340"/>
      <c r="B74" s="341" t="s">
        <v>528</v>
      </c>
      <c r="C74" s="341">
        <v>2</v>
      </c>
      <c r="D74" s="341"/>
      <c r="E74" s="341"/>
      <c r="F74" s="341"/>
      <c r="G74" s="341"/>
      <c r="H74" s="341"/>
      <c r="I74" s="341"/>
      <c r="J74" s="342"/>
    </row>
    <row r="75" spans="1:10" ht="12.75">
      <c r="A75" s="340"/>
      <c r="B75" s="341" t="s">
        <v>529</v>
      </c>
      <c r="C75" s="341">
        <v>32</v>
      </c>
      <c r="D75" s="341">
        <v>10</v>
      </c>
      <c r="E75" s="341"/>
      <c r="F75" s="341"/>
      <c r="G75" s="341"/>
      <c r="H75" s="341"/>
      <c r="I75" s="341"/>
      <c r="J75" s="342"/>
    </row>
    <row r="76" spans="1:10" ht="12.75">
      <c r="A76" s="340"/>
      <c r="B76" s="341" t="s">
        <v>530</v>
      </c>
      <c r="C76" s="341">
        <v>26</v>
      </c>
      <c r="D76" s="341"/>
      <c r="E76" s="341"/>
      <c r="F76" s="351"/>
      <c r="G76" s="341">
        <v>5</v>
      </c>
      <c r="H76" s="341"/>
      <c r="I76" s="351"/>
      <c r="J76" s="352"/>
    </row>
    <row r="77" spans="1:10" ht="12.75">
      <c r="A77" s="340"/>
      <c r="B77" s="341" t="s">
        <v>531</v>
      </c>
      <c r="C77" s="341"/>
      <c r="D77" s="341"/>
      <c r="E77" s="341"/>
      <c r="F77" s="341"/>
      <c r="G77" s="341"/>
      <c r="H77" s="341"/>
      <c r="I77" s="341"/>
      <c r="J77" s="342"/>
    </row>
    <row r="78" spans="1:10" ht="12.75">
      <c r="A78" s="340"/>
      <c r="B78" s="341" t="s">
        <v>532</v>
      </c>
      <c r="C78" s="341"/>
      <c r="D78" s="341"/>
      <c r="E78" s="341"/>
      <c r="F78" s="341"/>
      <c r="G78" s="341"/>
      <c r="H78" s="341"/>
      <c r="I78" s="341"/>
      <c r="J78" s="342"/>
    </row>
    <row r="79" spans="1:10" ht="12.75">
      <c r="A79" s="340"/>
      <c r="B79" s="341" t="s">
        <v>533</v>
      </c>
      <c r="C79" s="341"/>
      <c r="D79" s="341"/>
      <c r="E79" s="341"/>
      <c r="F79" s="341"/>
      <c r="G79" s="341"/>
      <c r="H79" s="341"/>
      <c r="I79" s="341"/>
      <c r="J79" s="342"/>
    </row>
    <row r="80" spans="1:10" ht="12.75">
      <c r="A80" s="343"/>
      <c r="B80" s="344" t="s">
        <v>4</v>
      </c>
      <c r="C80" s="348">
        <f aca="true" t="shared" si="14" ref="C80:J80">SUM(C73:C79)</f>
        <v>77</v>
      </c>
      <c r="D80" s="348">
        <f t="shared" si="14"/>
        <v>10</v>
      </c>
      <c r="E80" s="348">
        <f t="shared" si="14"/>
        <v>0</v>
      </c>
      <c r="F80" s="348">
        <f t="shared" si="14"/>
        <v>0</v>
      </c>
      <c r="G80" s="348">
        <f t="shared" si="14"/>
        <v>12</v>
      </c>
      <c r="H80" s="348">
        <f t="shared" si="14"/>
        <v>4</v>
      </c>
      <c r="I80" s="348">
        <f t="shared" si="14"/>
        <v>5</v>
      </c>
      <c r="J80" s="349">
        <f t="shared" si="14"/>
        <v>5</v>
      </c>
    </row>
    <row r="81" spans="1:10" ht="12.75">
      <c r="A81" s="338" t="s">
        <v>610</v>
      </c>
      <c r="B81" s="339" t="s">
        <v>527</v>
      </c>
      <c r="C81" s="339"/>
      <c r="D81" s="339">
        <v>6</v>
      </c>
      <c r="E81" s="339"/>
      <c r="F81" s="339"/>
      <c r="G81" s="339"/>
      <c r="H81" s="339"/>
      <c r="I81" s="339"/>
      <c r="J81" s="347"/>
    </row>
    <row r="82" spans="1:10" ht="12.75">
      <c r="A82" s="340"/>
      <c r="B82" s="341" t="s">
        <v>528</v>
      </c>
      <c r="C82" s="341"/>
      <c r="D82" s="341">
        <v>2</v>
      </c>
      <c r="E82" s="341"/>
      <c r="F82" s="341"/>
      <c r="G82" s="341"/>
      <c r="H82" s="341"/>
      <c r="I82" s="341"/>
      <c r="J82" s="342"/>
    </row>
    <row r="83" spans="1:10" ht="12.75">
      <c r="A83" s="340"/>
      <c r="B83" s="341" t="s">
        <v>529</v>
      </c>
      <c r="C83" s="341"/>
      <c r="D83" s="341"/>
      <c r="E83" s="341"/>
      <c r="F83" s="341"/>
      <c r="G83" s="341"/>
      <c r="H83" s="341"/>
      <c r="I83" s="341"/>
      <c r="J83" s="342"/>
    </row>
    <row r="84" spans="1:10" ht="12.75">
      <c r="A84" s="340"/>
      <c r="B84" s="341" t="s">
        <v>530</v>
      </c>
      <c r="C84" s="341"/>
      <c r="D84" s="341">
        <v>1</v>
      </c>
      <c r="E84" s="341"/>
      <c r="F84" s="351"/>
      <c r="G84" s="341"/>
      <c r="H84" s="341"/>
      <c r="I84" s="351"/>
      <c r="J84" s="352"/>
    </row>
    <row r="85" spans="1:10" ht="12.75">
      <c r="A85" s="340"/>
      <c r="B85" s="341" t="s">
        <v>531</v>
      </c>
      <c r="C85" s="341"/>
      <c r="D85" s="341"/>
      <c r="E85" s="341"/>
      <c r="F85" s="341"/>
      <c r="G85" s="341"/>
      <c r="H85" s="341"/>
      <c r="I85" s="341"/>
      <c r="J85" s="342"/>
    </row>
    <row r="86" spans="1:10" ht="12.75">
      <c r="A86" s="340"/>
      <c r="B86" s="341" t="s">
        <v>532</v>
      </c>
      <c r="C86" s="341"/>
      <c r="D86" s="341"/>
      <c r="E86" s="341"/>
      <c r="F86" s="341"/>
      <c r="G86" s="341"/>
      <c r="H86" s="341"/>
      <c r="I86" s="341"/>
      <c r="J86" s="342"/>
    </row>
    <row r="87" spans="1:10" ht="12.75">
      <c r="A87" s="340"/>
      <c r="B87" s="341" t="s">
        <v>533</v>
      </c>
      <c r="C87" s="341"/>
      <c r="D87" s="341"/>
      <c r="E87" s="341"/>
      <c r="F87" s="341"/>
      <c r="G87" s="341"/>
      <c r="H87" s="341"/>
      <c r="I87" s="341"/>
      <c r="J87" s="342"/>
    </row>
    <row r="88" spans="1:10" ht="12.75">
      <c r="A88" s="343"/>
      <c r="B88" s="344" t="s">
        <v>4</v>
      </c>
      <c r="C88" s="348"/>
      <c r="D88" s="348">
        <f>SUM(D81:D87)</f>
        <v>9</v>
      </c>
      <c r="E88" s="348"/>
      <c r="F88" s="348"/>
      <c r="G88" s="348"/>
      <c r="H88" s="348"/>
      <c r="I88" s="348"/>
      <c r="J88" s="349"/>
    </row>
    <row r="90" ht="12.75">
      <c r="C90">
        <f>278-67+9-10</f>
        <v>210</v>
      </c>
    </row>
    <row r="91" ht="12.75">
      <c r="C91">
        <f>55-26</f>
        <v>29</v>
      </c>
    </row>
    <row r="92" ht="12.75">
      <c r="B92" t="s">
        <v>611</v>
      </c>
    </row>
    <row r="93" ht="12.75">
      <c r="B93" t="s">
        <v>612</v>
      </c>
    </row>
    <row r="94" ht="12.75">
      <c r="B94" t="s">
        <v>613</v>
      </c>
    </row>
  </sheetData>
  <sheetProtection/>
  <mergeCells count="5">
    <mergeCell ref="B19:C19"/>
    <mergeCell ref="A1:I2"/>
    <mergeCell ref="A3:I3"/>
    <mergeCell ref="A17:C17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">
      <selection activeCell="A50" sqref="A50:D53"/>
    </sheetView>
  </sheetViews>
  <sheetFormatPr defaultColWidth="9.140625" defaultRowHeight="12.75" outlineLevelCol="1"/>
  <cols>
    <col min="1" max="1" width="61.00390625" style="238" customWidth="1"/>
    <col min="2" max="4" width="9.140625" style="238" customWidth="1" outlineLevel="1"/>
    <col min="5" max="5" width="9.140625" style="238" customWidth="1"/>
    <col min="6" max="6" width="13.28125" style="238" customWidth="1"/>
    <col min="7" max="16384" width="9.140625" style="238" customWidth="1"/>
  </cols>
  <sheetData>
    <row r="1" spans="1:4" ht="21.75" customHeight="1">
      <c r="A1" s="234" t="s">
        <v>440</v>
      </c>
      <c r="B1" s="235"/>
      <c r="C1" s="235"/>
      <c r="D1" s="235"/>
    </row>
    <row r="2" spans="1:4" ht="17.25" customHeight="1">
      <c r="A2" s="234"/>
      <c r="B2" s="235"/>
      <c r="C2" s="235"/>
      <c r="D2" s="235"/>
    </row>
    <row r="3" spans="1:9" ht="13.5" customHeight="1">
      <c r="A3" s="243"/>
      <c r="B3" s="244">
        <v>2007</v>
      </c>
      <c r="C3" s="244">
        <v>2008</v>
      </c>
      <c r="D3" s="244">
        <v>2009</v>
      </c>
      <c r="E3" s="244">
        <v>2010</v>
      </c>
      <c r="F3" s="244">
        <v>2011</v>
      </c>
      <c r="G3" s="244">
        <v>2012</v>
      </c>
      <c r="H3" s="244">
        <v>2013</v>
      </c>
      <c r="I3" s="244">
        <v>2014</v>
      </c>
    </row>
    <row r="4" spans="1:9" ht="13.5" customHeight="1">
      <c r="A4" s="249" t="s">
        <v>546</v>
      </c>
      <c r="B4" s="250">
        <v>101598</v>
      </c>
      <c r="C4" s="250">
        <v>187881</v>
      </c>
      <c r="D4" s="250">
        <v>205660</v>
      </c>
      <c r="E4" s="284">
        <v>258003</v>
      </c>
      <c r="F4" s="238">
        <v>281908</v>
      </c>
      <c r="G4" s="238">
        <v>264598</v>
      </c>
      <c r="H4" s="238">
        <v>253620</v>
      </c>
      <c r="I4" s="238">
        <v>247501</v>
      </c>
    </row>
    <row r="5" spans="1:9" ht="13.5" customHeight="1">
      <c r="A5" s="249" t="s">
        <v>447</v>
      </c>
      <c r="B5" s="252">
        <v>100891</v>
      </c>
      <c r="C5" s="252">
        <v>189468</v>
      </c>
      <c r="D5" s="252">
        <v>215998</v>
      </c>
      <c r="E5" s="284">
        <v>272393</v>
      </c>
      <c r="F5" s="238">
        <v>250482</v>
      </c>
      <c r="G5" s="238">
        <v>185779</v>
      </c>
      <c r="H5" s="238">
        <v>180789</v>
      </c>
      <c r="I5" s="238">
        <v>189626</v>
      </c>
    </row>
    <row r="6" spans="1:9" ht="13.5" customHeight="1">
      <c r="A6" s="254" t="s">
        <v>448</v>
      </c>
      <c r="B6" s="255">
        <v>707</v>
      </c>
      <c r="C6" s="255">
        <v>-1587</v>
      </c>
      <c r="D6" s="255">
        <v>-10338</v>
      </c>
      <c r="E6" s="255">
        <v>-14390</v>
      </c>
      <c r="F6" s="255">
        <v>31426</v>
      </c>
      <c r="G6" s="255">
        <v>78819</v>
      </c>
      <c r="H6" s="255">
        <v>72831</v>
      </c>
      <c r="I6" s="255">
        <v>57875</v>
      </c>
    </row>
    <row r="27" spans="1:6" ht="14.25">
      <c r="A27" s="243"/>
      <c r="B27" s="244">
        <v>2010</v>
      </c>
      <c r="C27" s="244">
        <v>2011</v>
      </c>
      <c r="D27" s="244">
        <v>2012</v>
      </c>
      <c r="E27" s="244">
        <v>2013</v>
      </c>
      <c r="F27" s="244">
        <v>2014</v>
      </c>
    </row>
    <row r="28" spans="1:6" ht="14.25">
      <c r="A28" s="249" t="s">
        <v>546</v>
      </c>
      <c r="B28" s="284">
        <v>258003</v>
      </c>
      <c r="C28" s="238">
        <v>281908</v>
      </c>
      <c r="D28" s="238">
        <v>264598</v>
      </c>
      <c r="E28" s="238">
        <v>253620</v>
      </c>
      <c r="F28" s="238">
        <v>247501</v>
      </c>
    </row>
    <row r="29" spans="1:6" ht="14.25">
      <c r="A29" s="249" t="s">
        <v>447</v>
      </c>
      <c r="B29" s="284">
        <v>272393</v>
      </c>
      <c r="C29" s="238">
        <v>250482</v>
      </c>
      <c r="D29" s="238">
        <v>185779</v>
      </c>
      <c r="E29" s="238">
        <v>180789</v>
      </c>
      <c r="F29" s="238">
        <v>189626</v>
      </c>
    </row>
    <row r="30" spans="1:6" ht="14.25">
      <c r="A30" s="254" t="s">
        <v>448</v>
      </c>
      <c r="B30" s="255">
        <v>-14390</v>
      </c>
      <c r="C30" s="255">
        <v>31426</v>
      </c>
      <c r="D30" s="255">
        <v>78819</v>
      </c>
      <c r="E30" s="255">
        <v>72831</v>
      </c>
      <c r="F30" s="255">
        <v>57875</v>
      </c>
    </row>
    <row r="50" spans="1:4" ht="14.25">
      <c r="A50" s="243"/>
      <c r="B50" s="244">
        <v>2012</v>
      </c>
      <c r="C50" s="244">
        <v>2013</v>
      </c>
      <c r="D50" s="244">
        <v>2014</v>
      </c>
    </row>
    <row r="51" spans="1:4" ht="14.25">
      <c r="A51" s="249" t="s">
        <v>546</v>
      </c>
      <c r="B51" s="238">
        <v>264598</v>
      </c>
      <c r="C51" s="238">
        <v>253620</v>
      </c>
      <c r="D51" s="238">
        <v>247501</v>
      </c>
    </row>
    <row r="52" spans="1:4" ht="14.25">
      <c r="A52" s="249" t="s">
        <v>447</v>
      </c>
      <c r="B52" s="238">
        <v>185779</v>
      </c>
      <c r="C52" s="238">
        <v>180789</v>
      </c>
      <c r="D52" s="238">
        <v>189626</v>
      </c>
    </row>
    <row r="53" spans="1:4" ht="14.25">
      <c r="A53" s="254" t="s">
        <v>448</v>
      </c>
      <c r="B53" s="255">
        <v>78819</v>
      </c>
      <c r="C53" s="255">
        <v>72831</v>
      </c>
      <c r="D53" s="255">
        <v>57875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1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421875" style="0" customWidth="1"/>
    <col min="13" max="13" width="9.8515625" style="0" customWidth="1"/>
  </cols>
  <sheetData>
    <row r="6" spans="1:14" ht="13.5">
      <c r="A6" s="425"/>
      <c r="B6" s="426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7">
        <v>2015</v>
      </c>
    </row>
    <row r="7" spans="1:14" ht="13.5">
      <c r="A7" s="428" t="s">
        <v>58</v>
      </c>
      <c r="B7" s="429" t="s">
        <v>576</v>
      </c>
      <c r="C7" s="430" t="s">
        <v>577</v>
      </c>
      <c r="D7" s="430" t="s">
        <v>578</v>
      </c>
      <c r="E7" s="430" t="s">
        <v>579</v>
      </c>
      <c r="F7" s="430" t="s">
        <v>580</v>
      </c>
      <c r="G7" s="430" t="s">
        <v>581</v>
      </c>
      <c r="H7" s="430" t="s">
        <v>582</v>
      </c>
      <c r="I7" s="430" t="s">
        <v>583</v>
      </c>
      <c r="J7" s="430" t="s">
        <v>584</v>
      </c>
      <c r="K7" s="430" t="s">
        <v>585</v>
      </c>
      <c r="L7" s="430" t="s">
        <v>586</v>
      </c>
      <c r="M7" s="430" t="s">
        <v>587</v>
      </c>
      <c r="N7" s="429" t="s">
        <v>550</v>
      </c>
    </row>
    <row r="8" spans="1:14" ht="13.5">
      <c r="A8" s="431"/>
      <c r="B8" s="66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3"/>
    </row>
    <row r="9" spans="1:14" ht="13.5">
      <c r="A9" s="45"/>
      <c r="B9" s="4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2"/>
    </row>
    <row r="10" spans="1:15" ht="13.5">
      <c r="A10" s="434" t="s">
        <v>588</v>
      </c>
      <c r="B10" s="38">
        <v>6121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297"/>
      <c r="O10" s="38"/>
    </row>
    <row r="11" spans="1:15" ht="13.5">
      <c r="A11" s="431" t="s">
        <v>589</v>
      </c>
      <c r="B11" s="435">
        <v>6084</v>
      </c>
      <c r="C11" s="436">
        <v>6064</v>
      </c>
      <c r="D11" s="436">
        <v>6044</v>
      </c>
      <c r="E11" s="436">
        <v>5962</v>
      </c>
      <c r="F11" s="436">
        <v>5932</v>
      </c>
      <c r="G11" s="436">
        <v>5902</v>
      </c>
      <c r="H11" s="436">
        <v>5864</v>
      </c>
      <c r="I11" s="436">
        <v>5824</v>
      </c>
      <c r="J11" s="436">
        <v>5773</v>
      </c>
      <c r="K11" s="436">
        <v>5716</v>
      </c>
      <c r="L11" s="436">
        <v>5715</v>
      </c>
      <c r="M11" s="436">
        <v>5650</v>
      </c>
      <c r="N11" s="38"/>
      <c r="O11" s="435">
        <f>+M11-B10</f>
        <v>-471</v>
      </c>
    </row>
    <row r="12" spans="1:15" ht="13.5">
      <c r="A12" s="431" t="s">
        <v>590</v>
      </c>
      <c r="B12" s="38">
        <v>6103</v>
      </c>
      <c r="C12" s="48">
        <v>6074</v>
      </c>
      <c r="D12" s="48">
        <v>6054</v>
      </c>
      <c r="E12" s="48">
        <v>6003</v>
      </c>
      <c r="F12" s="48">
        <v>5947</v>
      </c>
      <c r="G12" s="48">
        <v>5917</v>
      </c>
      <c r="H12" s="48">
        <v>5883</v>
      </c>
      <c r="I12" s="48">
        <v>5844</v>
      </c>
      <c r="J12" s="48">
        <v>5799</v>
      </c>
      <c r="K12" s="48">
        <v>5745</v>
      </c>
      <c r="L12" s="48">
        <v>5716</v>
      </c>
      <c r="M12" s="48">
        <v>5683</v>
      </c>
      <c r="N12" s="38">
        <f>SUM(B12:M12)/12</f>
        <v>5897.333333333333</v>
      </c>
      <c r="O12" s="38"/>
    </row>
    <row r="13" spans="1:15" ht="13.5">
      <c r="A13" s="431" t="s">
        <v>591</v>
      </c>
      <c r="B13" s="42">
        <f aca="true" t="shared" si="0" ref="B13:M13">INT(B14/B12*1000+0.5)</f>
        <v>789</v>
      </c>
      <c r="C13" s="44">
        <f t="shared" si="0"/>
        <v>778</v>
      </c>
      <c r="D13" s="44">
        <f t="shared" si="0"/>
        <v>804</v>
      </c>
      <c r="E13" s="44">
        <f t="shared" si="0"/>
        <v>848</v>
      </c>
      <c r="F13" s="44">
        <f t="shared" si="0"/>
        <v>847</v>
      </c>
      <c r="G13" s="44">
        <f t="shared" si="0"/>
        <v>821</v>
      </c>
      <c r="H13" s="44">
        <f t="shared" si="0"/>
        <v>817</v>
      </c>
      <c r="I13" s="44">
        <f t="shared" si="0"/>
        <v>814</v>
      </c>
      <c r="J13" s="44">
        <f t="shared" si="0"/>
        <v>877</v>
      </c>
      <c r="K13" s="44">
        <f t="shared" si="0"/>
        <v>847</v>
      </c>
      <c r="L13" s="44">
        <f t="shared" si="0"/>
        <v>846</v>
      </c>
      <c r="M13" s="44">
        <f t="shared" si="0"/>
        <v>1114</v>
      </c>
      <c r="N13" s="66">
        <f>INT(N14/N12/12*1000+0.5)</f>
        <v>849</v>
      </c>
      <c r="O13" s="42"/>
    </row>
    <row r="14" spans="1:15" ht="13.5">
      <c r="A14" s="45" t="s">
        <v>592</v>
      </c>
      <c r="B14" s="38">
        <v>4813</v>
      </c>
      <c r="C14" s="48">
        <v>4723</v>
      </c>
      <c r="D14" s="48">
        <v>4865</v>
      </c>
      <c r="E14" s="48">
        <v>5088</v>
      </c>
      <c r="F14" s="48">
        <v>5038</v>
      </c>
      <c r="G14" s="48">
        <v>4860</v>
      </c>
      <c r="H14" s="48">
        <v>4804</v>
      </c>
      <c r="I14" s="48">
        <v>4755</v>
      </c>
      <c r="J14" s="48">
        <v>5086</v>
      </c>
      <c r="K14" s="48">
        <v>4868</v>
      </c>
      <c r="L14" s="48">
        <v>4833</v>
      </c>
      <c r="M14" s="48">
        <v>6330</v>
      </c>
      <c r="N14" s="38">
        <f>SUM(B14:M14)</f>
        <v>60063</v>
      </c>
      <c r="O14" s="38"/>
    </row>
    <row r="15" spans="1:15" ht="13.5">
      <c r="A15" s="45" t="s">
        <v>593</v>
      </c>
      <c r="B15" s="38">
        <v>1476</v>
      </c>
      <c r="C15" s="48">
        <v>1475</v>
      </c>
      <c r="D15" s="48">
        <v>1517</v>
      </c>
      <c r="E15" s="48">
        <v>1565</v>
      </c>
      <c r="F15" s="48">
        <v>1562</v>
      </c>
      <c r="G15" s="48">
        <v>1524</v>
      </c>
      <c r="H15" s="48">
        <v>1600</v>
      </c>
      <c r="I15" s="48">
        <v>1639</v>
      </c>
      <c r="J15" s="48">
        <v>1617</v>
      </c>
      <c r="K15" s="48">
        <v>1527</v>
      </c>
      <c r="L15" s="48">
        <v>1523</v>
      </c>
      <c r="M15" s="48">
        <v>1778</v>
      </c>
      <c r="N15" s="38">
        <f>SUM(B15:M15)</f>
        <v>18803</v>
      </c>
      <c r="O15" s="38"/>
    </row>
    <row r="16" spans="1:15" ht="13.5">
      <c r="A16" s="45" t="s">
        <v>594</v>
      </c>
      <c r="B16" s="437">
        <f>B15/B14</f>
        <v>0.30666943694161647</v>
      </c>
      <c r="C16" s="438">
        <f aca="true" t="shared" si="1" ref="C16:M16">C15/C14</f>
        <v>0.3123015032818124</v>
      </c>
      <c r="D16" s="438">
        <f t="shared" si="1"/>
        <v>0.3118191161356629</v>
      </c>
      <c r="E16" s="438">
        <f t="shared" si="1"/>
        <v>0.3075864779874214</v>
      </c>
      <c r="F16" s="438">
        <f t="shared" si="1"/>
        <v>0.31004366812227074</v>
      </c>
      <c r="G16" s="438">
        <f t="shared" si="1"/>
        <v>0.3135802469135803</v>
      </c>
      <c r="H16" s="438">
        <f t="shared" si="1"/>
        <v>0.33305578684429643</v>
      </c>
      <c r="I16" s="438">
        <f t="shared" si="1"/>
        <v>0.34468980021030493</v>
      </c>
      <c r="J16" s="438">
        <f t="shared" si="1"/>
        <v>0.3179315768777035</v>
      </c>
      <c r="K16" s="438">
        <f t="shared" si="1"/>
        <v>0.3136811832374692</v>
      </c>
      <c r="L16" s="438">
        <f t="shared" si="1"/>
        <v>0.31512518104696874</v>
      </c>
      <c r="M16" s="438">
        <f t="shared" si="1"/>
        <v>0.28088467614533963</v>
      </c>
      <c r="N16" s="437">
        <f>N15/N14</f>
        <v>0.3130546259760585</v>
      </c>
      <c r="O16" s="437"/>
    </row>
    <row r="17" spans="1:15" ht="15">
      <c r="A17" s="439"/>
      <c r="B17" s="437">
        <v>0.2999</v>
      </c>
      <c r="C17" s="438">
        <v>0.2958</v>
      </c>
      <c r="D17" s="438">
        <v>0.3011</v>
      </c>
      <c r="E17" s="438">
        <v>0.3016</v>
      </c>
      <c r="F17" s="438">
        <v>0.3035</v>
      </c>
      <c r="G17" s="438">
        <v>0.3074</v>
      </c>
      <c r="H17" s="438">
        <v>0.3259</v>
      </c>
      <c r="I17" s="438">
        <v>0.3402</v>
      </c>
      <c r="J17" s="438">
        <v>0.3281</v>
      </c>
      <c r="K17" s="438">
        <v>0.3269</v>
      </c>
      <c r="L17" s="438">
        <v>0.3129</v>
      </c>
      <c r="M17" s="438">
        <v>0.2916</v>
      </c>
      <c r="N17" s="44"/>
      <c r="O17" s="437"/>
    </row>
    <row r="22" spans="1:14" ht="13.5">
      <c r="A22" s="425"/>
      <c r="B22" s="426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7">
        <v>2016</v>
      </c>
    </row>
    <row r="23" spans="1:14" ht="13.5">
      <c r="A23" s="428" t="s">
        <v>58</v>
      </c>
      <c r="B23" s="429" t="s">
        <v>576</v>
      </c>
      <c r="C23" s="430" t="s">
        <v>577</v>
      </c>
      <c r="D23" s="430" t="s">
        <v>578</v>
      </c>
      <c r="E23" s="430" t="s">
        <v>579</v>
      </c>
      <c r="F23" s="430" t="s">
        <v>580</v>
      </c>
      <c r="G23" s="430" t="s">
        <v>581</v>
      </c>
      <c r="H23" s="430" t="s">
        <v>582</v>
      </c>
      <c r="I23" s="430" t="s">
        <v>583</v>
      </c>
      <c r="J23" s="430" t="s">
        <v>584</v>
      </c>
      <c r="K23" s="430" t="s">
        <v>585</v>
      </c>
      <c r="L23" s="430" t="s">
        <v>586</v>
      </c>
      <c r="M23" s="430" t="s">
        <v>587</v>
      </c>
      <c r="N23" s="429" t="s">
        <v>550</v>
      </c>
    </row>
    <row r="24" spans="1:14" ht="13.5">
      <c r="A24" s="431"/>
      <c r="B24" s="66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3"/>
    </row>
    <row r="25" spans="1:14" ht="13.5">
      <c r="A25" s="45"/>
      <c r="B25" s="4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13.5">
      <c r="A26" s="434" t="s">
        <v>588</v>
      </c>
      <c r="B26" s="458">
        <f>M11-284-262</f>
        <v>5104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8"/>
    </row>
    <row r="27" spans="1:15" ht="13.5">
      <c r="A27" s="431" t="s">
        <v>589</v>
      </c>
      <c r="B27" s="435">
        <f>B26</f>
        <v>5104</v>
      </c>
      <c r="C27" s="436">
        <f>B27-10</f>
        <v>5094</v>
      </c>
      <c r="D27" s="436">
        <f aca="true" t="shared" si="2" ref="D27:L27">C27-10</f>
        <v>5084</v>
      </c>
      <c r="E27" s="436">
        <f t="shared" si="2"/>
        <v>5074</v>
      </c>
      <c r="F27" s="436">
        <f t="shared" si="2"/>
        <v>5064</v>
      </c>
      <c r="G27" s="436">
        <f t="shared" si="2"/>
        <v>5054</v>
      </c>
      <c r="H27" s="436">
        <f t="shared" si="2"/>
        <v>5044</v>
      </c>
      <c r="I27" s="436">
        <f t="shared" si="2"/>
        <v>5034</v>
      </c>
      <c r="J27" s="436">
        <f t="shared" si="2"/>
        <v>5024</v>
      </c>
      <c r="K27" s="436">
        <f t="shared" si="2"/>
        <v>5014</v>
      </c>
      <c r="L27" s="436">
        <f t="shared" si="2"/>
        <v>5004</v>
      </c>
      <c r="M27" s="436">
        <v>5004</v>
      </c>
      <c r="N27" s="38"/>
      <c r="O27" s="435">
        <f>+M27-B26</f>
        <v>-100</v>
      </c>
    </row>
    <row r="28" spans="1:14" ht="13.5">
      <c r="A28" s="431" t="s">
        <v>590</v>
      </c>
      <c r="B28" s="38">
        <f>(B26+B27)/2</f>
        <v>5104</v>
      </c>
      <c r="C28" s="48">
        <f>(B27+C27)/2</f>
        <v>5099</v>
      </c>
      <c r="D28" s="48">
        <f aca="true" t="shared" si="3" ref="D28:M28">(C27+D27)/2</f>
        <v>5089</v>
      </c>
      <c r="E28" s="48">
        <f t="shared" si="3"/>
        <v>5079</v>
      </c>
      <c r="F28" s="48">
        <f t="shared" si="3"/>
        <v>5069</v>
      </c>
      <c r="G28" s="48">
        <f t="shared" si="3"/>
        <v>5059</v>
      </c>
      <c r="H28" s="48">
        <f t="shared" si="3"/>
        <v>5049</v>
      </c>
      <c r="I28" s="48">
        <f t="shared" si="3"/>
        <v>5039</v>
      </c>
      <c r="J28" s="48">
        <f t="shared" si="3"/>
        <v>5029</v>
      </c>
      <c r="K28" s="48">
        <f t="shared" si="3"/>
        <v>5019</v>
      </c>
      <c r="L28" s="48">
        <f t="shared" si="3"/>
        <v>5009</v>
      </c>
      <c r="M28" s="48">
        <f t="shared" si="3"/>
        <v>5004</v>
      </c>
      <c r="N28" s="38">
        <f>SUM(B28:M28)/12</f>
        <v>5054</v>
      </c>
    </row>
    <row r="29" spans="1:14" ht="13.5">
      <c r="A29" s="431" t="s">
        <v>591</v>
      </c>
      <c r="B29" s="42">
        <v>842</v>
      </c>
      <c r="C29" s="44">
        <v>842</v>
      </c>
      <c r="D29" s="44">
        <v>842</v>
      </c>
      <c r="E29" s="44">
        <v>842</v>
      </c>
      <c r="F29" s="44">
        <v>842</v>
      </c>
      <c r="G29" s="44">
        <v>842</v>
      </c>
      <c r="H29" s="44">
        <v>842</v>
      </c>
      <c r="I29" s="44">
        <v>842</v>
      </c>
      <c r="J29" s="44">
        <v>842</v>
      </c>
      <c r="K29" s="44">
        <v>842</v>
      </c>
      <c r="L29" s="44">
        <v>842</v>
      </c>
      <c r="M29" s="44">
        <v>900</v>
      </c>
      <c r="N29" s="66">
        <f>INT(N30/N28/12*1000+0.5)</f>
        <v>847</v>
      </c>
    </row>
    <row r="30" spans="1:14" ht="13.5">
      <c r="A30" s="45" t="s">
        <v>592</v>
      </c>
      <c r="B30" s="38">
        <f>INT(B29*B28/1000+0.5)</f>
        <v>4298</v>
      </c>
      <c r="C30" s="48">
        <f aca="true" t="shared" si="4" ref="C30:M30">INT(C29*C28/1000+0.5)</f>
        <v>4293</v>
      </c>
      <c r="D30" s="48">
        <f t="shared" si="4"/>
        <v>4285</v>
      </c>
      <c r="E30" s="48">
        <f t="shared" si="4"/>
        <v>4277</v>
      </c>
      <c r="F30" s="48">
        <f t="shared" si="4"/>
        <v>4268</v>
      </c>
      <c r="G30" s="48">
        <f t="shared" si="4"/>
        <v>4260</v>
      </c>
      <c r="H30" s="48">
        <f t="shared" si="4"/>
        <v>4251</v>
      </c>
      <c r="I30" s="48">
        <f t="shared" si="4"/>
        <v>4243</v>
      </c>
      <c r="J30" s="48">
        <f t="shared" si="4"/>
        <v>4234</v>
      </c>
      <c r="K30" s="48">
        <f t="shared" si="4"/>
        <v>4226</v>
      </c>
      <c r="L30" s="48">
        <f t="shared" si="4"/>
        <v>4218</v>
      </c>
      <c r="M30" s="48">
        <f t="shared" si="4"/>
        <v>4504</v>
      </c>
      <c r="N30" s="38">
        <f>SUM(B30:M30)</f>
        <v>51357</v>
      </c>
    </row>
    <row r="31" spans="1:14" ht="13.5">
      <c r="A31" s="45" t="s">
        <v>593</v>
      </c>
      <c r="B31" s="38">
        <f>INT(B30*B33+0.5)</f>
        <v>1318</v>
      </c>
      <c r="C31" s="48">
        <f aca="true" t="shared" si="5" ref="C31:M31">INT(C30*C33+0.5)</f>
        <v>1341</v>
      </c>
      <c r="D31" s="48">
        <f t="shared" si="5"/>
        <v>1336</v>
      </c>
      <c r="E31" s="48">
        <f t="shared" si="5"/>
        <v>1316</v>
      </c>
      <c r="F31" s="48">
        <f t="shared" si="5"/>
        <v>1323</v>
      </c>
      <c r="G31" s="48">
        <f t="shared" si="5"/>
        <v>1336</v>
      </c>
      <c r="H31" s="48">
        <f t="shared" si="5"/>
        <v>1416</v>
      </c>
      <c r="I31" s="48">
        <f t="shared" si="5"/>
        <v>1463</v>
      </c>
      <c r="J31" s="48">
        <f t="shared" si="5"/>
        <v>1346</v>
      </c>
      <c r="K31" s="48">
        <f t="shared" si="5"/>
        <v>1326</v>
      </c>
      <c r="L31" s="48">
        <f t="shared" si="5"/>
        <v>1329</v>
      </c>
      <c r="M31" s="48">
        <f t="shared" si="5"/>
        <v>1413</v>
      </c>
      <c r="N31" s="38">
        <f>SUM(B31:M31)</f>
        <v>16263</v>
      </c>
    </row>
    <row r="32" spans="1:14" ht="13.5">
      <c r="A32" s="45" t="s">
        <v>594</v>
      </c>
      <c r="B32" s="437">
        <f aca="true" t="shared" si="6" ref="B32:N32">B31/B30</f>
        <v>0.3066542577943229</v>
      </c>
      <c r="C32" s="438">
        <f t="shared" si="6"/>
        <v>0.31236897274633124</v>
      </c>
      <c r="D32" s="438">
        <f t="shared" si="6"/>
        <v>0.3117852975495916</v>
      </c>
      <c r="E32" s="438">
        <f t="shared" si="6"/>
        <v>0.3076923076923077</v>
      </c>
      <c r="F32" s="438">
        <f t="shared" si="6"/>
        <v>0.3099812558575445</v>
      </c>
      <c r="G32" s="438">
        <f t="shared" si="6"/>
        <v>0.3136150234741784</v>
      </c>
      <c r="H32" s="438">
        <f t="shared" si="6"/>
        <v>0.3330980945659845</v>
      </c>
      <c r="I32" s="438">
        <f t="shared" si="6"/>
        <v>0.34480320527928354</v>
      </c>
      <c r="J32" s="438">
        <f t="shared" si="6"/>
        <v>0.31790269248937175</v>
      </c>
      <c r="K32" s="438">
        <f t="shared" si="6"/>
        <v>0.31377188831045905</v>
      </c>
      <c r="L32" s="438">
        <f t="shared" si="6"/>
        <v>0.3150782361308677</v>
      </c>
      <c r="M32" s="438">
        <f t="shared" si="6"/>
        <v>0.31372113676731794</v>
      </c>
      <c r="N32" s="437">
        <f t="shared" si="6"/>
        <v>0.3166656930895496</v>
      </c>
    </row>
    <row r="33" spans="1:14" ht="15">
      <c r="A33" s="439"/>
      <c r="B33" s="437">
        <v>0.30666943694161647</v>
      </c>
      <c r="C33" s="438">
        <v>0.3123015032818124</v>
      </c>
      <c r="D33" s="438">
        <v>0.3118191161356629</v>
      </c>
      <c r="E33" s="438">
        <v>0.3075864779874214</v>
      </c>
      <c r="F33" s="438">
        <v>0.31004366812227074</v>
      </c>
      <c r="G33" s="438">
        <v>0.3135802469135803</v>
      </c>
      <c r="H33" s="438">
        <v>0.33305578684429643</v>
      </c>
      <c r="I33" s="438">
        <v>0.34468980021030493</v>
      </c>
      <c r="J33" s="438">
        <v>0.3179315768777035</v>
      </c>
      <c r="K33" s="438">
        <v>0.3136811832374692</v>
      </c>
      <c r="L33" s="438">
        <v>0.31512518104696874</v>
      </c>
      <c r="M33" s="438">
        <v>0.3137</v>
      </c>
      <c r="N33" s="44">
        <v>0.3130546259760585</v>
      </c>
    </row>
    <row r="38" spans="1:14" ht="13.5">
      <c r="A38" s="425"/>
      <c r="B38" s="426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7">
        <v>2017</v>
      </c>
    </row>
    <row r="39" spans="1:14" ht="13.5">
      <c r="A39" s="428" t="s">
        <v>58</v>
      </c>
      <c r="B39" s="429" t="s">
        <v>576</v>
      </c>
      <c r="C39" s="430" t="s">
        <v>577</v>
      </c>
      <c r="D39" s="430" t="s">
        <v>578</v>
      </c>
      <c r="E39" s="430" t="s">
        <v>579</v>
      </c>
      <c r="F39" s="430" t="s">
        <v>580</v>
      </c>
      <c r="G39" s="430" t="s">
        <v>581</v>
      </c>
      <c r="H39" s="430" t="s">
        <v>582</v>
      </c>
      <c r="I39" s="430" t="s">
        <v>583</v>
      </c>
      <c r="J39" s="430" t="s">
        <v>584</v>
      </c>
      <c r="K39" s="430" t="s">
        <v>585</v>
      </c>
      <c r="L39" s="430" t="s">
        <v>586</v>
      </c>
      <c r="M39" s="430" t="s">
        <v>587</v>
      </c>
      <c r="N39" s="429" t="s">
        <v>550</v>
      </c>
    </row>
    <row r="40" spans="1:14" ht="13.5">
      <c r="A40" s="431"/>
      <c r="B40" s="66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3"/>
    </row>
    <row r="41" spans="1:14" ht="13.5">
      <c r="A41" s="45"/>
      <c r="B41" s="4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2"/>
    </row>
    <row r="42" spans="1:14" ht="13.5">
      <c r="A42" s="434" t="s">
        <v>588</v>
      </c>
      <c r="B42" s="38">
        <f>M27</f>
        <v>5004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8"/>
    </row>
    <row r="43" spans="1:15" ht="13.5">
      <c r="A43" s="431" t="s">
        <v>589</v>
      </c>
      <c r="B43" s="435">
        <f>B42</f>
        <v>5004</v>
      </c>
      <c r="C43" s="436">
        <f>B43-10</f>
        <v>4994</v>
      </c>
      <c r="D43" s="436">
        <f aca="true" t="shared" si="7" ref="D43:L43">C43-10</f>
        <v>4984</v>
      </c>
      <c r="E43" s="436">
        <f t="shared" si="7"/>
        <v>4974</v>
      </c>
      <c r="F43" s="436">
        <f t="shared" si="7"/>
        <v>4964</v>
      </c>
      <c r="G43" s="436">
        <f t="shared" si="7"/>
        <v>4954</v>
      </c>
      <c r="H43" s="436">
        <f t="shared" si="7"/>
        <v>4944</v>
      </c>
      <c r="I43" s="436">
        <f t="shared" si="7"/>
        <v>4934</v>
      </c>
      <c r="J43" s="436">
        <f t="shared" si="7"/>
        <v>4924</v>
      </c>
      <c r="K43" s="436">
        <f t="shared" si="7"/>
        <v>4914</v>
      </c>
      <c r="L43" s="436">
        <f t="shared" si="7"/>
        <v>4904</v>
      </c>
      <c r="M43" s="436">
        <f>L43</f>
        <v>4904</v>
      </c>
      <c r="N43" s="38"/>
      <c r="O43" s="435">
        <f>+M43-B42</f>
        <v>-100</v>
      </c>
    </row>
    <row r="44" spans="1:14" ht="13.5">
      <c r="A44" s="431" t="s">
        <v>590</v>
      </c>
      <c r="B44" s="38">
        <f>(B42+B43)/2</f>
        <v>5004</v>
      </c>
      <c r="C44" s="48">
        <f aca="true" t="shared" si="8" ref="C44:M44">(B43+C43)/2</f>
        <v>4999</v>
      </c>
      <c r="D44" s="48">
        <f t="shared" si="8"/>
        <v>4989</v>
      </c>
      <c r="E44" s="48">
        <f t="shared" si="8"/>
        <v>4979</v>
      </c>
      <c r="F44" s="48">
        <f t="shared" si="8"/>
        <v>4969</v>
      </c>
      <c r="G44" s="48">
        <f t="shared" si="8"/>
        <v>4959</v>
      </c>
      <c r="H44" s="48">
        <f t="shared" si="8"/>
        <v>4949</v>
      </c>
      <c r="I44" s="48">
        <f t="shared" si="8"/>
        <v>4939</v>
      </c>
      <c r="J44" s="48">
        <f t="shared" si="8"/>
        <v>4929</v>
      </c>
      <c r="K44" s="48">
        <f t="shared" si="8"/>
        <v>4919</v>
      </c>
      <c r="L44" s="48">
        <f t="shared" si="8"/>
        <v>4909</v>
      </c>
      <c r="M44" s="48">
        <f t="shared" si="8"/>
        <v>4904</v>
      </c>
      <c r="N44" s="38">
        <f>SUM(B44:M44)/12</f>
        <v>4954</v>
      </c>
    </row>
    <row r="45" spans="1:14" ht="13.5">
      <c r="A45" s="431" t="s">
        <v>591</v>
      </c>
      <c r="B45" s="42">
        <v>855</v>
      </c>
      <c r="C45" s="44">
        <v>855</v>
      </c>
      <c r="D45" s="44">
        <v>855</v>
      </c>
      <c r="E45" s="44">
        <v>855</v>
      </c>
      <c r="F45" s="44">
        <v>855</v>
      </c>
      <c r="G45" s="44">
        <v>855</v>
      </c>
      <c r="H45" s="44">
        <v>855</v>
      </c>
      <c r="I45" s="44">
        <v>855</v>
      </c>
      <c r="J45" s="44">
        <v>855</v>
      </c>
      <c r="K45" s="44">
        <v>855</v>
      </c>
      <c r="L45" s="44">
        <v>855</v>
      </c>
      <c r="M45" s="44">
        <v>900</v>
      </c>
      <c r="N45" s="66">
        <f>INT(N46/N44/12*1000+0.5)</f>
        <v>859</v>
      </c>
    </row>
    <row r="46" spans="1:14" ht="13.5">
      <c r="A46" s="45" t="s">
        <v>592</v>
      </c>
      <c r="B46" s="38">
        <f aca="true" t="shared" si="9" ref="B46:M46">INT(B45*B44/1000+0.5)</f>
        <v>4278</v>
      </c>
      <c r="C46" s="48">
        <f t="shared" si="9"/>
        <v>4274</v>
      </c>
      <c r="D46" s="48">
        <f t="shared" si="9"/>
        <v>4266</v>
      </c>
      <c r="E46" s="48">
        <f t="shared" si="9"/>
        <v>4257</v>
      </c>
      <c r="F46" s="48">
        <f t="shared" si="9"/>
        <v>4248</v>
      </c>
      <c r="G46" s="48">
        <f t="shared" si="9"/>
        <v>4240</v>
      </c>
      <c r="H46" s="48">
        <f t="shared" si="9"/>
        <v>4231</v>
      </c>
      <c r="I46" s="48">
        <f t="shared" si="9"/>
        <v>4223</v>
      </c>
      <c r="J46" s="48">
        <f t="shared" si="9"/>
        <v>4214</v>
      </c>
      <c r="K46" s="48">
        <f t="shared" si="9"/>
        <v>4206</v>
      </c>
      <c r="L46" s="48">
        <f t="shared" si="9"/>
        <v>4197</v>
      </c>
      <c r="M46" s="48">
        <f t="shared" si="9"/>
        <v>4414</v>
      </c>
      <c r="N46" s="38">
        <f>SUM(B46:M46)</f>
        <v>51048</v>
      </c>
    </row>
    <row r="47" spans="1:14" ht="13.5">
      <c r="A47" s="45" t="s">
        <v>593</v>
      </c>
      <c r="B47" s="38">
        <f aca="true" t="shared" si="10" ref="B47:M47">INT(B46*B49+0.5)</f>
        <v>1312</v>
      </c>
      <c r="C47" s="48">
        <f t="shared" si="10"/>
        <v>1335</v>
      </c>
      <c r="D47" s="48">
        <f t="shared" si="10"/>
        <v>1330</v>
      </c>
      <c r="E47" s="48">
        <f t="shared" si="10"/>
        <v>1309</v>
      </c>
      <c r="F47" s="48">
        <f t="shared" si="10"/>
        <v>1317</v>
      </c>
      <c r="G47" s="48">
        <f t="shared" si="10"/>
        <v>1330</v>
      </c>
      <c r="H47" s="48">
        <f t="shared" si="10"/>
        <v>1409</v>
      </c>
      <c r="I47" s="48">
        <f t="shared" si="10"/>
        <v>1456</v>
      </c>
      <c r="J47" s="48">
        <f t="shared" si="10"/>
        <v>1340</v>
      </c>
      <c r="K47" s="48">
        <f t="shared" si="10"/>
        <v>1319</v>
      </c>
      <c r="L47" s="48">
        <f t="shared" si="10"/>
        <v>1323</v>
      </c>
      <c r="M47" s="48">
        <f t="shared" si="10"/>
        <v>1385</v>
      </c>
      <c r="N47" s="38">
        <f>SUM(B47:M47)</f>
        <v>16165</v>
      </c>
    </row>
    <row r="48" spans="1:14" ht="13.5">
      <c r="A48" s="45" t="s">
        <v>594</v>
      </c>
      <c r="B48" s="437">
        <f aca="true" t="shared" si="11" ref="B48:N48">B47/B46</f>
        <v>0.3066853669939224</v>
      </c>
      <c r="C48" s="438">
        <f t="shared" si="11"/>
        <v>0.3123537669630323</v>
      </c>
      <c r="D48" s="438">
        <f t="shared" si="11"/>
        <v>0.31176746366619784</v>
      </c>
      <c r="E48" s="438">
        <f t="shared" si="11"/>
        <v>0.30749354005167956</v>
      </c>
      <c r="F48" s="438">
        <f t="shared" si="11"/>
        <v>0.3100282485875706</v>
      </c>
      <c r="G48" s="438">
        <f t="shared" si="11"/>
        <v>0.3136792452830189</v>
      </c>
      <c r="H48" s="438">
        <f t="shared" si="11"/>
        <v>0.3330181990073269</v>
      </c>
      <c r="I48" s="438">
        <f t="shared" si="11"/>
        <v>0.3447785934170021</v>
      </c>
      <c r="J48" s="438">
        <f t="shared" si="11"/>
        <v>0.3179876601803512</v>
      </c>
      <c r="K48" s="438">
        <f t="shared" si="11"/>
        <v>0.31359961959106036</v>
      </c>
      <c r="L48" s="438">
        <f t="shared" si="11"/>
        <v>0.3152251608291637</v>
      </c>
      <c r="M48" s="438">
        <f t="shared" si="11"/>
        <v>0.3137743543271409</v>
      </c>
      <c r="N48" s="437">
        <f t="shared" si="11"/>
        <v>0.3166627487854568</v>
      </c>
    </row>
    <row r="49" spans="1:14" ht="15">
      <c r="A49" s="439"/>
      <c r="B49" s="437">
        <v>0.30666943694161647</v>
      </c>
      <c r="C49" s="438">
        <v>0.3123015032818124</v>
      </c>
      <c r="D49" s="438">
        <v>0.3118191161356629</v>
      </c>
      <c r="E49" s="438">
        <v>0.3075864779874214</v>
      </c>
      <c r="F49" s="438">
        <v>0.31004366812227074</v>
      </c>
      <c r="G49" s="438">
        <v>0.3135802469135803</v>
      </c>
      <c r="H49" s="438">
        <v>0.33305578684429643</v>
      </c>
      <c r="I49" s="438">
        <v>0.34468980021030493</v>
      </c>
      <c r="J49" s="438">
        <v>0.3179315768777035</v>
      </c>
      <c r="K49" s="438">
        <v>0.3136811832374692</v>
      </c>
      <c r="L49" s="438">
        <v>0.31512518104696874</v>
      </c>
      <c r="M49" s="438">
        <v>0.3137</v>
      </c>
      <c r="N49" s="44"/>
    </row>
    <row r="54" spans="1:14" ht="13.5">
      <c r="A54" s="425"/>
      <c r="B54" s="426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7">
        <v>2018</v>
      </c>
    </row>
    <row r="55" spans="1:14" ht="13.5">
      <c r="A55" s="428" t="s">
        <v>58</v>
      </c>
      <c r="B55" s="429" t="s">
        <v>576</v>
      </c>
      <c r="C55" s="430" t="s">
        <v>577</v>
      </c>
      <c r="D55" s="430" t="s">
        <v>578</v>
      </c>
      <c r="E55" s="430" t="s">
        <v>579</v>
      </c>
      <c r="F55" s="430" t="s">
        <v>580</v>
      </c>
      <c r="G55" s="430" t="s">
        <v>581</v>
      </c>
      <c r="H55" s="430" t="s">
        <v>582</v>
      </c>
      <c r="I55" s="430" t="s">
        <v>583</v>
      </c>
      <c r="J55" s="430" t="s">
        <v>584</v>
      </c>
      <c r="K55" s="430" t="s">
        <v>585</v>
      </c>
      <c r="L55" s="430" t="s">
        <v>586</v>
      </c>
      <c r="M55" s="430" t="s">
        <v>587</v>
      </c>
      <c r="N55" s="429" t="s">
        <v>550</v>
      </c>
    </row>
    <row r="56" spans="1:14" ht="13.5">
      <c r="A56" s="431"/>
      <c r="B56" s="66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3"/>
    </row>
    <row r="57" spans="1:14" ht="13.5">
      <c r="A57" s="45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2"/>
    </row>
    <row r="58" spans="1:14" ht="13.5">
      <c r="A58" s="434" t="s">
        <v>588</v>
      </c>
      <c r="B58" s="38">
        <f>M43</f>
        <v>4904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38"/>
    </row>
    <row r="59" spans="1:15" ht="13.5">
      <c r="A59" s="431" t="s">
        <v>589</v>
      </c>
      <c r="B59" s="435">
        <f>B58</f>
        <v>4904</v>
      </c>
      <c r="C59" s="436">
        <f>B59-10</f>
        <v>4894</v>
      </c>
      <c r="D59" s="436">
        <f aca="true" t="shared" si="12" ref="D59:L59">C59-10</f>
        <v>4884</v>
      </c>
      <c r="E59" s="436">
        <f t="shared" si="12"/>
        <v>4874</v>
      </c>
      <c r="F59" s="436">
        <f t="shared" si="12"/>
        <v>4864</v>
      </c>
      <c r="G59" s="436">
        <f t="shared" si="12"/>
        <v>4854</v>
      </c>
      <c r="H59" s="436">
        <f t="shared" si="12"/>
        <v>4844</v>
      </c>
      <c r="I59" s="436">
        <f t="shared" si="12"/>
        <v>4834</v>
      </c>
      <c r="J59" s="436">
        <f t="shared" si="12"/>
        <v>4824</v>
      </c>
      <c r="K59" s="436">
        <f t="shared" si="12"/>
        <v>4814</v>
      </c>
      <c r="L59" s="436">
        <f t="shared" si="12"/>
        <v>4804</v>
      </c>
      <c r="M59" s="436">
        <f>L59</f>
        <v>4804</v>
      </c>
      <c r="N59" s="38"/>
      <c r="O59" s="435">
        <f>+M59-B58</f>
        <v>-100</v>
      </c>
    </row>
    <row r="60" spans="1:16" ht="13.5">
      <c r="A60" s="431" t="s">
        <v>590</v>
      </c>
      <c r="B60" s="38">
        <f>(B58+B59)/2</f>
        <v>4904</v>
      </c>
      <c r="C60" s="48">
        <f aca="true" t="shared" si="13" ref="C60:M60">(B59+C59)/2</f>
        <v>4899</v>
      </c>
      <c r="D60" s="48">
        <f t="shared" si="13"/>
        <v>4889</v>
      </c>
      <c r="E60" s="48">
        <f t="shared" si="13"/>
        <v>4879</v>
      </c>
      <c r="F60" s="48">
        <f t="shared" si="13"/>
        <v>4869</v>
      </c>
      <c r="G60" s="48">
        <f t="shared" si="13"/>
        <v>4859</v>
      </c>
      <c r="H60" s="48">
        <f t="shared" si="13"/>
        <v>4849</v>
      </c>
      <c r="I60" s="48">
        <f t="shared" si="13"/>
        <v>4839</v>
      </c>
      <c r="J60" s="48">
        <f t="shared" si="13"/>
        <v>4829</v>
      </c>
      <c r="K60" s="48">
        <f t="shared" si="13"/>
        <v>4819</v>
      </c>
      <c r="L60" s="48">
        <f t="shared" si="13"/>
        <v>4809</v>
      </c>
      <c r="M60" s="48">
        <f t="shared" si="13"/>
        <v>4804</v>
      </c>
      <c r="N60" s="38">
        <f>SUM(B60:M60)/12</f>
        <v>4854</v>
      </c>
      <c r="P60" s="2">
        <f>N44-N60</f>
        <v>100</v>
      </c>
    </row>
    <row r="61" spans="1:14" ht="13.5">
      <c r="A61" s="431" t="s">
        <v>591</v>
      </c>
      <c r="B61" s="42">
        <v>866</v>
      </c>
      <c r="C61" s="44">
        <v>866</v>
      </c>
      <c r="D61" s="44">
        <v>866</v>
      </c>
      <c r="E61" s="44">
        <v>866</v>
      </c>
      <c r="F61" s="44">
        <v>866</v>
      </c>
      <c r="G61" s="44">
        <v>866</v>
      </c>
      <c r="H61" s="44">
        <v>866</v>
      </c>
      <c r="I61" s="44">
        <v>866</v>
      </c>
      <c r="J61" s="44">
        <v>866</v>
      </c>
      <c r="K61" s="44">
        <v>866</v>
      </c>
      <c r="L61" s="44">
        <v>866</v>
      </c>
      <c r="M61" s="44">
        <v>930</v>
      </c>
      <c r="N61" s="66">
        <f>INT(N62/N60/12*1000+0.5)</f>
        <v>871</v>
      </c>
    </row>
    <row r="62" spans="1:14" ht="13.5">
      <c r="A62" s="45" t="s">
        <v>592</v>
      </c>
      <c r="B62" s="38">
        <f aca="true" t="shared" si="14" ref="B62:M62">INT(B61*B60/1000+0.5)</f>
        <v>4247</v>
      </c>
      <c r="C62" s="48">
        <f t="shared" si="14"/>
        <v>4243</v>
      </c>
      <c r="D62" s="48">
        <f t="shared" si="14"/>
        <v>4234</v>
      </c>
      <c r="E62" s="48">
        <f t="shared" si="14"/>
        <v>4225</v>
      </c>
      <c r="F62" s="48">
        <f t="shared" si="14"/>
        <v>4217</v>
      </c>
      <c r="G62" s="48">
        <f t="shared" si="14"/>
        <v>4208</v>
      </c>
      <c r="H62" s="48">
        <f t="shared" si="14"/>
        <v>4199</v>
      </c>
      <c r="I62" s="48">
        <f t="shared" si="14"/>
        <v>4191</v>
      </c>
      <c r="J62" s="48">
        <f t="shared" si="14"/>
        <v>4182</v>
      </c>
      <c r="K62" s="48">
        <f t="shared" si="14"/>
        <v>4173</v>
      </c>
      <c r="L62" s="48">
        <f t="shared" si="14"/>
        <v>4165</v>
      </c>
      <c r="M62" s="48">
        <f t="shared" si="14"/>
        <v>4468</v>
      </c>
      <c r="N62" s="38">
        <f>SUM(B62:M62)</f>
        <v>50752</v>
      </c>
    </row>
    <row r="63" spans="1:14" ht="13.5">
      <c r="A63" s="45" t="s">
        <v>593</v>
      </c>
      <c r="B63" s="38">
        <f aca="true" t="shared" si="15" ref="B63:M63">INT(B62*B65+0.5)</f>
        <v>1302</v>
      </c>
      <c r="C63" s="48">
        <f t="shared" si="15"/>
        <v>1325</v>
      </c>
      <c r="D63" s="48">
        <f t="shared" si="15"/>
        <v>1320</v>
      </c>
      <c r="E63" s="48">
        <f t="shared" si="15"/>
        <v>1300</v>
      </c>
      <c r="F63" s="48">
        <f t="shared" si="15"/>
        <v>1307</v>
      </c>
      <c r="G63" s="48">
        <f t="shared" si="15"/>
        <v>1320</v>
      </c>
      <c r="H63" s="48">
        <f t="shared" si="15"/>
        <v>1399</v>
      </c>
      <c r="I63" s="48">
        <f t="shared" si="15"/>
        <v>1445</v>
      </c>
      <c r="J63" s="48">
        <f t="shared" si="15"/>
        <v>1330</v>
      </c>
      <c r="K63" s="48">
        <f t="shared" si="15"/>
        <v>1309</v>
      </c>
      <c r="L63" s="48">
        <f t="shared" si="15"/>
        <v>1312</v>
      </c>
      <c r="M63" s="48">
        <f t="shared" si="15"/>
        <v>1402</v>
      </c>
      <c r="N63" s="38">
        <f>SUM(B63:M63)</f>
        <v>16071</v>
      </c>
    </row>
    <row r="64" spans="1:14" ht="13.5">
      <c r="A64" s="45" t="s">
        <v>594</v>
      </c>
      <c r="B64" s="437">
        <f aca="true" t="shared" si="16" ref="B64:N64">B63/B62</f>
        <v>0.30656934306569344</v>
      </c>
      <c r="C64" s="438">
        <f t="shared" si="16"/>
        <v>0.31227904784350696</v>
      </c>
      <c r="D64" s="438">
        <f t="shared" si="16"/>
        <v>0.3117619272555503</v>
      </c>
      <c r="E64" s="438">
        <f t="shared" si="16"/>
        <v>0.3076923076923077</v>
      </c>
      <c r="F64" s="438">
        <f t="shared" si="16"/>
        <v>0.30993597344083473</v>
      </c>
      <c r="G64" s="438">
        <f t="shared" si="16"/>
        <v>0.31368821292775667</v>
      </c>
      <c r="H64" s="438">
        <f t="shared" si="16"/>
        <v>0.3331745653727078</v>
      </c>
      <c r="I64" s="438">
        <f t="shared" si="16"/>
        <v>0.34478644714865186</v>
      </c>
      <c r="J64" s="438">
        <f t="shared" si="16"/>
        <v>0.31802965088474416</v>
      </c>
      <c r="K64" s="438">
        <f t="shared" si="16"/>
        <v>0.3136832015336688</v>
      </c>
      <c r="L64" s="438">
        <f t="shared" si="16"/>
        <v>0.3150060024009604</v>
      </c>
      <c r="M64" s="438">
        <f t="shared" si="16"/>
        <v>0.3137869292748433</v>
      </c>
      <c r="N64" s="437">
        <f t="shared" si="16"/>
        <v>0.3166574716267339</v>
      </c>
    </row>
    <row r="65" spans="1:14" ht="15">
      <c r="A65" s="439"/>
      <c r="B65" s="437">
        <v>0.30666943694161647</v>
      </c>
      <c r="C65" s="438">
        <v>0.3123015032818124</v>
      </c>
      <c r="D65" s="438">
        <v>0.3118191161356629</v>
      </c>
      <c r="E65" s="438">
        <v>0.3075864779874214</v>
      </c>
      <c r="F65" s="438">
        <v>0.31004366812227074</v>
      </c>
      <c r="G65" s="438">
        <v>0.3135802469135803</v>
      </c>
      <c r="H65" s="438">
        <v>0.33305578684429643</v>
      </c>
      <c r="I65" s="438">
        <v>0.34468980021030493</v>
      </c>
      <c r="J65" s="438">
        <v>0.3179315768777035</v>
      </c>
      <c r="K65" s="438">
        <v>0.3136811832374692</v>
      </c>
      <c r="L65" s="438">
        <v>0.31512518104696874</v>
      </c>
      <c r="M65" s="438">
        <v>0.3137</v>
      </c>
      <c r="N65" s="44"/>
    </row>
    <row r="70" spans="1:14" ht="13.5">
      <c r="A70" s="425"/>
      <c r="B70" s="426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7">
        <v>2019</v>
      </c>
    </row>
    <row r="71" spans="1:14" ht="13.5">
      <c r="A71" s="428" t="s">
        <v>58</v>
      </c>
      <c r="B71" s="429" t="s">
        <v>576</v>
      </c>
      <c r="C71" s="430" t="s">
        <v>577</v>
      </c>
      <c r="D71" s="430" t="s">
        <v>578</v>
      </c>
      <c r="E71" s="430" t="s">
        <v>579</v>
      </c>
      <c r="F71" s="430" t="s">
        <v>580</v>
      </c>
      <c r="G71" s="430" t="s">
        <v>581</v>
      </c>
      <c r="H71" s="430" t="s">
        <v>582</v>
      </c>
      <c r="I71" s="430" t="s">
        <v>583</v>
      </c>
      <c r="J71" s="430" t="s">
        <v>584</v>
      </c>
      <c r="K71" s="430" t="s">
        <v>585</v>
      </c>
      <c r="L71" s="430" t="s">
        <v>586</v>
      </c>
      <c r="M71" s="430" t="s">
        <v>587</v>
      </c>
      <c r="N71" s="429" t="s">
        <v>550</v>
      </c>
    </row>
    <row r="72" spans="1:14" ht="13.5">
      <c r="A72" s="431"/>
      <c r="B72" s="66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3"/>
    </row>
    <row r="73" spans="1:14" ht="13.5">
      <c r="A73" s="45"/>
      <c r="B73" s="42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2"/>
    </row>
    <row r="74" spans="1:14" ht="13.5">
      <c r="A74" s="434" t="s">
        <v>588</v>
      </c>
      <c r="B74" s="38">
        <f>M59</f>
        <v>4804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8"/>
    </row>
    <row r="75" spans="1:15" ht="13.5">
      <c r="A75" s="431" t="s">
        <v>589</v>
      </c>
      <c r="B75" s="435">
        <f>B74-10</f>
        <v>4794</v>
      </c>
      <c r="C75" s="436">
        <f>B75-13</f>
        <v>4781</v>
      </c>
      <c r="D75" s="436">
        <f aca="true" t="shared" si="17" ref="D75:L75">C75-13</f>
        <v>4768</v>
      </c>
      <c r="E75" s="436">
        <f t="shared" si="17"/>
        <v>4755</v>
      </c>
      <c r="F75" s="436">
        <f t="shared" si="17"/>
        <v>4742</v>
      </c>
      <c r="G75" s="436">
        <f t="shared" si="17"/>
        <v>4729</v>
      </c>
      <c r="H75" s="436">
        <f t="shared" si="17"/>
        <v>4716</v>
      </c>
      <c r="I75" s="436">
        <f t="shared" si="17"/>
        <v>4703</v>
      </c>
      <c r="J75" s="436">
        <f t="shared" si="17"/>
        <v>4690</v>
      </c>
      <c r="K75" s="436">
        <f t="shared" si="17"/>
        <v>4677</v>
      </c>
      <c r="L75" s="436">
        <f t="shared" si="17"/>
        <v>4664</v>
      </c>
      <c r="M75" s="436">
        <f>L75-10</f>
        <v>4654</v>
      </c>
      <c r="N75" s="38"/>
      <c r="O75" s="435">
        <f>+M75-B74</f>
        <v>-150</v>
      </c>
    </row>
    <row r="76" spans="1:16" ht="13.5">
      <c r="A76" s="431" t="s">
        <v>590</v>
      </c>
      <c r="B76" s="38">
        <f>(B74+B75)/2</f>
        <v>4799</v>
      </c>
      <c r="C76" s="48">
        <f aca="true" t="shared" si="18" ref="C76:M76">(B75+C75)/2</f>
        <v>4787.5</v>
      </c>
      <c r="D76" s="48">
        <f t="shared" si="18"/>
        <v>4774.5</v>
      </c>
      <c r="E76" s="48">
        <f t="shared" si="18"/>
        <v>4761.5</v>
      </c>
      <c r="F76" s="48">
        <f t="shared" si="18"/>
        <v>4748.5</v>
      </c>
      <c r="G76" s="48">
        <f t="shared" si="18"/>
        <v>4735.5</v>
      </c>
      <c r="H76" s="48">
        <f t="shared" si="18"/>
        <v>4722.5</v>
      </c>
      <c r="I76" s="48">
        <f t="shared" si="18"/>
        <v>4709.5</v>
      </c>
      <c r="J76" s="48">
        <f t="shared" si="18"/>
        <v>4696.5</v>
      </c>
      <c r="K76" s="48">
        <f t="shared" si="18"/>
        <v>4683.5</v>
      </c>
      <c r="L76" s="48">
        <f t="shared" si="18"/>
        <v>4670.5</v>
      </c>
      <c r="M76" s="48">
        <f t="shared" si="18"/>
        <v>4659</v>
      </c>
      <c r="N76" s="38">
        <f>SUM(B76:M76)/12</f>
        <v>4729</v>
      </c>
      <c r="P76" s="2">
        <f>N60-N76</f>
        <v>125</v>
      </c>
    </row>
    <row r="77" spans="1:14" ht="13.5">
      <c r="A77" s="431" t="s">
        <v>591</v>
      </c>
      <c r="B77" s="42">
        <f>881*1.048</f>
        <v>923.288</v>
      </c>
      <c r="C77" s="44">
        <f aca="true" t="shared" si="19" ref="C77:L77">881*1.048</f>
        <v>923.288</v>
      </c>
      <c r="D77" s="44">
        <f t="shared" si="19"/>
        <v>923.288</v>
      </c>
      <c r="E77" s="44">
        <f t="shared" si="19"/>
        <v>923.288</v>
      </c>
      <c r="F77" s="44">
        <f t="shared" si="19"/>
        <v>923.288</v>
      </c>
      <c r="G77" s="44">
        <f t="shared" si="19"/>
        <v>923.288</v>
      </c>
      <c r="H77" s="44">
        <f t="shared" si="19"/>
        <v>923.288</v>
      </c>
      <c r="I77" s="44">
        <f t="shared" si="19"/>
        <v>923.288</v>
      </c>
      <c r="J77" s="44">
        <f t="shared" si="19"/>
        <v>923.288</v>
      </c>
      <c r="K77" s="44">
        <f t="shared" si="19"/>
        <v>923.288</v>
      </c>
      <c r="L77" s="44">
        <f t="shared" si="19"/>
        <v>923.288</v>
      </c>
      <c r="M77" s="44">
        <v>980</v>
      </c>
      <c r="N77" s="66">
        <f>INT(N78/N76/12*1000+0.5)</f>
        <v>928</v>
      </c>
    </row>
    <row r="78" spans="1:14" ht="13.5">
      <c r="A78" s="45" t="s">
        <v>592</v>
      </c>
      <c r="B78" s="38">
        <f aca="true" t="shared" si="20" ref="B78:M78">INT(B77*B76/1000+0.5)</f>
        <v>4431</v>
      </c>
      <c r="C78" s="48">
        <f t="shared" si="20"/>
        <v>4420</v>
      </c>
      <c r="D78" s="48">
        <f t="shared" si="20"/>
        <v>4408</v>
      </c>
      <c r="E78" s="48">
        <f t="shared" si="20"/>
        <v>4396</v>
      </c>
      <c r="F78" s="48">
        <f t="shared" si="20"/>
        <v>4384</v>
      </c>
      <c r="G78" s="48">
        <f t="shared" si="20"/>
        <v>4372</v>
      </c>
      <c r="H78" s="48">
        <f t="shared" si="20"/>
        <v>4360</v>
      </c>
      <c r="I78" s="48">
        <f t="shared" si="20"/>
        <v>4348</v>
      </c>
      <c r="J78" s="48">
        <f t="shared" si="20"/>
        <v>4336</v>
      </c>
      <c r="K78" s="48">
        <f t="shared" si="20"/>
        <v>4324</v>
      </c>
      <c r="L78" s="48">
        <f t="shared" si="20"/>
        <v>4312</v>
      </c>
      <c r="M78" s="48">
        <f t="shared" si="20"/>
        <v>4566</v>
      </c>
      <c r="N78" s="38">
        <f>SUM(B78:M78)</f>
        <v>52657</v>
      </c>
    </row>
    <row r="79" spans="1:14" ht="13.5">
      <c r="A79" s="45" t="s">
        <v>593</v>
      </c>
      <c r="B79" s="38">
        <f>B78*B81</f>
        <v>1358.81046</v>
      </c>
      <c r="C79" s="48">
        <f aca="true" t="shared" si="21" ref="C79:M79">C78*C81</f>
        <v>1379.482</v>
      </c>
      <c r="D79" s="48">
        <f t="shared" si="21"/>
        <v>1373.9735999999998</v>
      </c>
      <c r="E79" s="48">
        <f t="shared" si="21"/>
        <v>1351.3304</v>
      </c>
      <c r="F79" s="48">
        <f t="shared" si="21"/>
        <v>1359.04</v>
      </c>
      <c r="G79" s="48">
        <f t="shared" si="21"/>
        <v>1370.622</v>
      </c>
      <c r="H79" s="48">
        <f t="shared" si="21"/>
        <v>1451.88</v>
      </c>
      <c r="I79" s="48">
        <f t="shared" si="21"/>
        <v>1498.3208</v>
      </c>
      <c r="J79" s="48">
        <f t="shared" si="21"/>
        <v>1378.4144000000001</v>
      </c>
      <c r="K79" s="48">
        <f t="shared" si="21"/>
        <v>1356.0064</v>
      </c>
      <c r="L79" s="48">
        <f t="shared" si="21"/>
        <v>1358.7112</v>
      </c>
      <c r="M79" s="48">
        <f t="shared" si="21"/>
        <v>1282.5194312796207</v>
      </c>
      <c r="N79" s="38">
        <f>SUM(B79:M79)</f>
        <v>16519.110691279617</v>
      </c>
    </row>
    <row r="80" spans="1:14" ht="13.5">
      <c r="A80" s="45" t="s">
        <v>594</v>
      </c>
      <c r="B80" s="437">
        <f aca="true" t="shared" si="22" ref="B80:N80">B79/B78</f>
        <v>0.30666</v>
      </c>
      <c r="C80" s="438">
        <f t="shared" si="22"/>
        <v>0.3121</v>
      </c>
      <c r="D80" s="438">
        <f t="shared" si="22"/>
        <v>0.3117</v>
      </c>
      <c r="E80" s="438">
        <f t="shared" si="22"/>
        <v>0.3074</v>
      </c>
      <c r="F80" s="438">
        <f t="shared" si="22"/>
        <v>0.31</v>
      </c>
      <c r="G80" s="438">
        <f t="shared" si="22"/>
        <v>0.3135</v>
      </c>
      <c r="H80" s="438">
        <f t="shared" si="22"/>
        <v>0.333</v>
      </c>
      <c r="I80" s="438">
        <f t="shared" si="22"/>
        <v>0.3446</v>
      </c>
      <c r="J80" s="438">
        <f t="shared" si="22"/>
        <v>0.3179</v>
      </c>
      <c r="K80" s="438">
        <f t="shared" si="22"/>
        <v>0.3136</v>
      </c>
      <c r="L80" s="438">
        <f t="shared" si="22"/>
        <v>0.3151</v>
      </c>
      <c r="M80" s="438">
        <v>0.3137</v>
      </c>
      <c r="N80" s="437">
        <f t="shared" si="22"/>
        <v>0.31371158044095976</v>
      </c>
    </row>
    <row r="81" spans="1:14" ht="15">
      <c r="A81" s="439"/>
      <c r="B81" s="437">
        <v>0.30666</v>
      </c>
      <c r="C81" s="438">
        <v>0.3121</v>
      </c>
      <c r="D81" s="438">
        <v>0.3117</v>
      </c>
      <c r="E81" s="438">
        <v>0.3074</v>
      </c>
      <c r="F81" s="438">
        <v>0.31</v>
      </c>
      <c r="G81" s="438">
        <v>0.3135</v>
      </c>
      <c r="H81" s="438">
        <v>0.333</v>
      </c>
      <c r="I81" s="438">
        <v>0.3446</v>
      </c>
      <c r="J81" s="438">
        <v>0.3179</v>
      </c>
      <c r="K81" s="438">
        <v>0.3136</v>
      </c>
      <c r="L81" s="438">
        <v>0.3151</v>
      </c>
      <c r="M81" s="438">
        <v>0.28088467614533963</v>
      </c>
      <c r="N81" s="44"/>
    </row>
    <row r="86" spans="1:14" ht="13.5">
      <c r="A86" s="425"/>
      <c r="B86" s="426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7">
        <v>2020</v>
      </c>
    </row>
    <row r="87" spans="1:14" ht="13.5">
      <c r="A87" s="428" t="s">
        <v>58</v>
      </c>
      <c r="B87" s="429" t="s">
        <v>576</v>
      </c>
      <c r="C87" s="430" t="s">
        <v>577</v>
      </c>
      <c r="D87" s="430" t="s">
        <v>578</v>
      </c>
      <c r="E87" s="430" t="s">
        <v>579</v>
      </c>
      <c r="F87" s="430" t="s">
        <v>580</v>
      </c>
      <c r="G87" s="430" t="s">
        <v>581</v>
      </c>
      <c r="H87" s="430" t="s">
        <v>582</v>
      </c>
      <c r="I87" s="430" t="s">
        <v>583</v>
      </c>
      <c r="J87" s="430" t="s">
        <v>584</v>
      </c>
      <c r="K87" s="430" t="s">
        <v>585</v>
      </c>
      <c r="L87" s="430" t="s">
        <v>586</v>
      </c>
      <c r="M87" s="430" t="s">
        <v>587</v>
      </c>
      <c r="N87" s="429" t="s">
        <v>550</v>
      </c>
    </row>
    <row r="88" spans="1:14" ht="13.5">
      <c r="A88" s="431"/>
      <c r="B88" s="66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3"/>
    </row>
    <row r="89" spans="1:14" ht="13.5">
      <c r="A89" s="45"/>
      <c r="B89" s="4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2"/>
    </row>
    <row r="90" spans="1:14" ht="13.5">
      <c r="A90" s="434" t="s">
        <v>588</v>
      </c>
      <c r="B90" s="38">
        <f>M75</f>
        <v>4654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38"/>
    </row>
    <row r="91" spans="1:15" ht="13.5">
      <c r="A91" s="431" t="s">
        <v>589</v>
      </c>
      <c r="B91" s="435">
        <f>B90-10</f>
        <v>4644</v>
      </c>
      <c r="C91" s="436">
        <f>B91-13</f>
        <v>4631</v>
      </c>
      <c r="D91" s="436">
        <f aca="true" t="shared" si="23" ref="D91:L91">C91-13</f>
        <v>4618</v>
      </c>
      <c r="E91" s="436">
        <f t="shared" si="23"/>
        <v>4605</v>
      </c>
      <c r="F91" s="436">
        <f t="shared" si="23"/>
        <v>4592</v>
      </c>
      <c r="G91" s="436">
        <f t="shared" si="23"/>
        <v>4579</v>
      </c>
      <c r="H91" s="436">
        <f t="shared" si="23"/>
        <v>4566</v>
      </c>
      <c r="I91" s="436">
        <f t="shared" si="23"/>
        <v>4553</v>
      </c>
      <c r="J91" s="436">
        <f t="shared" si="23"/>
        <v>4540</v>
      </c>
      <c r="K91" s="436">
        <f t="shared" si="23"/>
        <v>4527</v>
      </c>
      <c r="L91" s="436">
        <f t="shared" si="23"/>
        <v>4514</v>
      </c>
      <c r="M91" s="436">
        <f>L91-10</f>
        <v>4504</v>
      </c>
      <c r="N91" s="38"/>
      <c r="O91" s="435">
        <f>+M91-B90</f>
        <v>-150</v>
      </c>
    </row>
    <row r="92" spans="1:16" ht="13.5">
      <c r="A92" s="431" t="s">
        <v>590</v>
      </c>
      <c r="B92" s="38">
        <f>(B90+B91)/2</f>
        <v>4649</v>
      </c>
      <c r="C92" s="48">
        <f aca="true" t="shared" si="24" ref="C92:M92">(B91+C91)/2</f>
        <v>4637.5</v>
      </c>
      <c r="D92" s="48">
        <f t="shared" si="24"/>
        <v>4624.5</v>
      </c>
      <c r="E92" s="48">
        <f t="shared" si="24"/>
        <v>4611.5</v>
      </c>
      <c r="F92" s="48">
        <f t="shared" si="24"/>
        <v>4598.5</v>
      </c>
      <c r="G92" s="48">
        <f t="shared" si="24"/>
        <v>4585.5</v>
      </c>
      <c r="H92" s="48">
        <f t="shared" si="24"/>
        <v>4572.5</v>
      </c>
      <c r="I92" s="48">
        <f t="shared" si="24"/>
        <v>4559.5</v>
      </c>
      <c r="J92" s="48">
        <f t="shared" si="24"/>
        <v>4546.5</v>
      </c>
      <c r="K92" s="48">
        <f t="shared" si="24"/>
        <v>4533.5</v>
      </c>
      <c r="L92" s="48">
        <f t="shared" si="24"/>
        <v>4520.5</v>
      </c>
      <c r="M92" s="48">
        <f t="shared" si="24"/>
        <v>4509</v>
      </c>
      <c r="N92" s="38">
        <f>SUM(B92:M92)/12</f>
        <v>4579</v>
      </c>
      <c r="P92" s="2">
        <f>N76-N92</f>
        <v>150</v>
      </c>
    </row>
    <row r="93" spans="1:14" ht="13.5">
      <c r="A93" s="431" t="s">
        <v>591</v>
      </c>
      <c r="B93" s="42">
        <f>938*1.048</f>
        <v>983.024</v>
      </c>
      <c r="C93" s="42">
        <f aca="true" t="shared" si="25" ref="C93:L93">938*1.048</f>
        <v>983.024</v>
      </c>
      <c r="D93" s="42">
        <f t="shared" si="25"/>
        <v>983.024</v>
      </c>
      <c r="E93" s="42">
        <f t="shared" si="25"/>
        <v>983.024</v>
      </c>
      <c r="F93" s="42">
        <f t="shared" si="25"/>
        <v>983.024</v>
      </c>
      <c r="G93" s="42">
        <f t="shared" si="25"/>
        <v>983.024</v>
      </c>
      <c r="H93" s="42">
        <f t="shared" si="25"/>
        <v>983.024</v>
      </c>
      <c r="I93" s="42">
        <f t="shared" si="25"/>
        <v>983.024</v>
      </c>
      <c r="J93" s="42">
        <f t="shared" si="25"/>
        <v>983.024</v>
      </c>
      <c r="K93" s="42">
        <f t="shared" si="25"/>
        <v>983.024</v>
      </c>
      <c r="L93" s="42">
        <f t="shared" si="25"/>
        <v>983.024</v>
      </c>
      <c r="M93" s="44">
        <v>1010</v>
      </c>
      <c r="N93" s="66">
        <f>INT(N94/N92/12*1000+0.5)</f>
        <v>985</v>
      </c>
    </row>
    <row r="94" spans="1:14" ht="13.5">
      <c r="A94" s="45" t="s">
        <v>592</v>
      </c>
      <c r="B94" s="38">
        <f aca="true" t="shared" si="26" ref="B94:M94">INT(B93*B92/1000+0.5)</f>
        <v>4570</v>
      </c>
      <c r="C94" s="48">
        <f t="shared" si="26"/>
        <v>4559</v>
      </c>
      <c r="D94" s="48">
        <f t="shared" si="26"/>
        <v>4546</v>
      </c>
      <c r="E94" s="48">
        <f t="shared" si="26"/>
        <v>4533</v>
      </c>
      <c r="F94" s="48">
        <f t="shared" si="26"/>
        <v>4520</v>
      </c>
      <c r="G94" s="48">
        <f t="shared" si="26"/>
        <v>4508</v>
      </c>
      <c r="H94" s="48">
        <f t="shared" si="26"/>
        <v>4495</v>
      </c>
      <c r="I94" s="48">
        <f t="shared" si="26"/>
        <v>4482</v>
      </c>
      <c r="J94" s="48">
        <f t="shared" si="26"/>
        <v>4469</v>
      </c>
      <c r="K94" s="48">
        <f t="shared" si="26"/>
        <v>4457</v>
      </c>
      <c r="L94" s="48">
        <f t="shared" si="26"/>
        <v>4444</v>
      </c>
      <c r="M94" s="48">
        <f t="shared" si="26"/>
        <v>4554</v>
      </c>
      <c r="N94" s="38">
        <f>SUM(B94:M94)</f>
        <v>54137</v>
      </c>
    </row>
    <row r="95" spans="1:14" ht="13.5">
      <c r="A95" s="45" t="s">
        <v>593</v>
      </c>
      <c r="B95" s="38">
        <f aca="true" t="shared" si="27" ref="B95:M95">B94*B97</f>
        <v>1401.4361999999999</v>
      </c>
      <c r="C95" s="48">
        <f t="shared" si="27"/>
        <v>1422.8639</v>
      </c>
      <c r="D95" s="48">
        <f t="shared" si="27"/>
        <v>1416.9882</v>
      </c>
      <c r="E95" s="48">
        <f t="shared" si="27"/>
        <v>1393.4442000000001</v>
      </c>
      <c r="F95" s="48">
        <f t="shared" si="27"/>
        <v>1401.2</v>
      </c>
      <c r="G95" s="48">
        <f t="shared" si="27"/>
        <v>1413.258</v>
      </c>
      <c r="H95" s="48">
        <f t="shared" si="27"/>
        <v>1496.835</v>
      </c>
      <c r="I95" s="48">
        <f t="shared" si="27"/>
        <v>1544.4972</v>
      </c>
      <c r="J95" s="48">
        <f t="shared" si="27"/>
        <v>1420.6951000000001</v>
      </c>
      <c r="K95" s="48">
        <f t="shared" si="27"/>
        <v>1397.7151999999999</v>
      </c>
      <c r="L95" s="48">
        <f t="shared" si="27"/>
        <v>1400.3044</v>
      </c>
      <c r="M95" s="48">
        <f t="shared" si="27"/>
        <v>1428.5898</v>
      </c>
      <c r="N95" s="38">
        <f>SUM(B95:M95)</f>
        <v>17137.827200000003</v>
      </c>
    </row>
    <row r="96" spans="1:14" ht="13.5">
      <c r="A96" s="45" t="s">
        <v>594</v>
      </c>
      <c r="B96" s="437">
        <f aca="true" t="shared" si="28" ref="B96:N96">B95/B94</f>
        <v>0.30666</v>
      </c>
      <c r="C96" s="438">
        <f t="shared" si="28"/>
        <v>0.3121</v>
      </c>
      <c r="D96" s="438">
        <f t="shared" si="28"/>
        <v>0.3117</v>
      </c>
      <c r="E96" s="438">
        <f t="shared" si="28"/>
        <v>0.3074</v>
      </c>
      <c r="F96" s="438">
        <f t="shared" si="28"/>
        <v>0.31</v>
      </c>
      <c r="G96" s="438">
        <f t="shared" si="28"/>
        <v>0.3135</v>
      </c>
      <c r="H96" s="438">
        <f t="shared" si="28"/>
        <v>0.333</v>
      </c>
      <c r="I96" s="438">
        <f t="shared" si="28"/>
        <v>0.3446</v>
      </c>
      <c r="J96" s="438">
        <f t="shared" si="28"/>
        <v>0.3179</v>
      </c>
      <c r="K96" s="438">
        <f t="shared" si="28"/>
        <v>0.3136</v>
      </c>
      <c r="L96" s="438">
        <f t="shared" si="28"/>
        <v>0.3151</v>
      </c>
      <c r="M96" s="438">
        <f t="shared" si="28"/>
        <v>0.3137</v>
      </c>
      <c r="N96" s="437">
        <f t="shared" si="28"/>
        <v>0.316564035687238</v>
      </c>
    </row>
    <row r="97" spans="1:14" ht="15">
      <c r="A97" s="439"/>
      <c r="B97" s="437">
        <v>0.30666</v>
      </c>
      <c r="C97" s="438">
        <v>0.3121</v>
      </c>
      <c r="D97" s="438">
        <v>0.3117</v>
      </c>
      <c r="E97" s="438">
        <v>0.3074</v>
      </c>
      <c r="F97" s="438">
        <v>0.31</v>
      </c>
      <c r="G97" s="438">
        <v>0.3135</v>
      </c>
      <c r="H97" s="438">
        <v>0.333</v>
      </c>
      <c r="I97" s="438">
        <v>0.3446</v>
      </c>
      <c r="J97" s="438">
        <v>0.3179</v>
      </c>
      <c r="K97" s="438">
        <v>0.3136</v>
      </c>
      <c r="L97" s="438">
        <v>0.3151</v>
      </c>
      <c r="M97" s="438">
        <v>0.3137</v>
      </c>
      <c r="N97" s="44"/>
    </row>
    <row r="102" spans="1:14" ht="13.5">
      <c r="A102" s="425"/>
      <c r="B102" s="426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7">
        <v>2021</v>
      </c>
    </row>
    <row r="103" spans="1:14" ht="13.5">
      <c r="A103" s="428" t="s">
        <v>58</v>
      </c>
      <c r="B103" s="429" t="s">
        <v>576</v>
      </c>
      <c r="C103" s="430" t="s">
        <v>577</v>
      </c>
      <c r="D103" s="430" t="s">
        <v>578</v>
      </c>
      <c r="E103" s="430" t="s">
        <v>579</v>
      </c>
      <c r="F103" s="430" t="s">
        <v>580</v>
      </c>
      <c r="G103" s="430" t="s">
        <v>581</v>
      </c>
      <c r="H103" s="430" t="s">
        <v>582</v>
      </c>
      <c r="I103" s="430" t="s">
        <v>583</v>
      </c>
      <c r="J103" s="430" t="s">
        <v>584</v>
      </c>
      <c r="K103" s="430" t="s">
        <v>585</v>
      </c>
      <c r="L103" s="430" t="s">
        <v>586</v>
      </c>
      <c r="M103" s="430" t="s">
        <v>587</v>
      </c>
      <c r="N103" s="429" t="s">
        <v>550</v>
      </c>
    </row>
    <row r="104" spans="1:14" ht="13.5">
      <c r="A104" s="431"/>
      <c r="B104" s="66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3"/>
    </row>
    <row r="105" spans="1:14" ht="13.5">
      <c r="A105" s="45"/>
      <c r="B105" s="42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2"/>
    </row>
    <row r="106" spans="1:14" ht="13.5">
      <c r="A106" s="434" t="s">
        <v>588</v>
      </c>
      <c r="B106" s="38">
        <f>M91</f>
        <v>4504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38"/>
    </row>
    <row r="107" spans="1:15" ht="13.5">
      <c r="A107" s="431" t="s">
        <v>589</v>
      </c>
      <c r="B107" s="435">
        <f>B106</f>
        <v>4504</v>
      </c>
      <c r="C107" s="436">
        <f>B107</f>
        <v>4504</v>
      </c>
      <c r="D107" s="436">
        <f aca="true" t="shared" si="29" ref="D107:M107">C107</f>
        <v>4504</v>
      </c>
      <c r="E107" s="436">
        <f t="shared" si="29"/>
        <v>4504</v>
      </c>
      <c r="F107" s="436">
        <f t="shared" si="29"/>
        <v>4504</v>
      </c>
      <c r="G107" s="436">
        <f t="shared" si="29"/>
        <v>4504</v>
      </c>
      <c r="H107" s="436">
        <f t="shared" si="29"/>
        <v>4504</v>
      </c>
      <c r="I107" s="436">
        <f t="shared" si="29"/>
        <v>4504</v>
      </c>
      <c r="J107" s="436">
        <f t="shared" si="29"/>
        <v>4504</v>
      </c>
      <c r="K107" s="436">
        <f t="shared" si="29"/>
        <v>4504</v>
      </c>
      <c r="L107" s="436">
        <f t="shared" si="29"/>
        <v>4504</v>
      </c>
      <c r="M107" s="436">
        <f t="shared" si="29"/>
        <v>4504</v>
      </c>
      <c r="N107" s="38"/>
      <c r="O107" s="435">
        <f>+M107-B106</f>
        <v>0</v>
      </c>
    </row>
    <row r="108" spans="1:16" ht="13.5">
      <c r="A108" s="200" t="s">
        <v>590</v>
      </c>
      <c r="B108" s="38">
        <f>(B106+B107)/2</f>
        <v>4504</v>
      </c>
      <c r="C108" s="48">
        <f aca="true" t="shared" si="30" ref="C108:M108">(B107+C107)/2</f>
        <v>4504</v>
      </c>
      <c r="D108" s="48">
        <f t="shared" si="30"/>
        <v>4504</v>
      </c>
      <c r="E108" s="48">
        <f t="shared" si="30"/>
        <v>4504</v>
      </c>
      <c r="F108" s="48">
        <f t="shared" si="30"/>
        <v>4504</v>
      </c>
      <c r="G108" s="48">
        <f t="shared" si="30"/>
        <v>4504</v>
      </c>
      <c r="H108" s="48">
        <f t="shared" si="30"/>
        <v>4504</v>
      </c>
      <c r="I108" s="48">
        <f t="shared" si="30"/>
        <v>4504</v>
      </c>
      <c r="J108" s="48">
        <f t="shared" si="30"/>
        <v>4504</v>
      </c>
      <c r="K108" s="48">
        <f t="shared" si="30"/>
        <v>4504</v>
      </c>
      <c r="L108" s="48">
        <f t="shared" si="30"/>
        <v>4504</v>
      </c>
      <c r="M108" s="48">
        <f t="shared" si="30"/>
        <v>4504</v>
      </c>
      <c r="N108" s="38">
        <f>SUM(B108:M108)/12</f>
        <v>4504</v>
      </c>
      <c r="P108" s="2">
        <f>N92-N108</f>
        <v>75</v>
      </c>
    </row>
    <row r="109" spans="1:14" ht="13.5">
      <c r="A109" s="431" t="s">
        <v>591</v>
      </c>
      <c r="B109" s="42">
        <f>995*1.048</f>
        <v>1042.76</v>
      </c>
      <c r="C109" s="44">
        <f aca="true" t="shared" si="31" ref="C109:L109">995*1.048</f>
        <v>1042.76</v>
      </c>
      <c r="D109" s="44">
        <f t="shared" si="31"/>
        <v>1042.76</v>
      </c>
      <c r="E109" s="44">
        <f t="shared" si="31"/>
        <v>1042.76</v>
      </c>
      <c r="F109" s="44">
        <f t="shared" si="31"/>
        <v>1042.76</v>
      </c>
      <c r="G109" s="44">
        <f t="shared" si="31"/>
        <v>1042.76</v>
      </c>
      <c r="H109" s="44">
        <f t="shared" si="31"/>
        <v>1042.76</v>
      </c>
      <c r="I109" s="44">
        <f t="shared" si="31"/>
        <v>1042.76</v>
      </c>
      <c r="J109" s="44">
        <f t="shared" si="31"/>
        <v>1042.76</v>
      </c>
      <c r="K109" s="44">
        <f t="shared" si="31"/>
        <v>1042.76</v>
      </c>
      <c r="L109" s="44">
        <f t="shared" si="31"/>
        <v>1042.76</v>
      </c>
      <c r="M109" s="44">
        <v>1080</v>
      </c>
      <c r="N109" s="66">
        <f>INT(N110/N108/12*1000+0.5)</f>
        <v>1046</v>
      </c>
    </row>
    <row r="110" spans="1:14" ht="13.5">
      <c r="A110" s="15" t="s">
        <v>592</v>
      </c>
      <c r="B110" s="38">
        <f aca="true" t="shared" si="32" ref="B110:M110">INT(B109*B108/1000+0.5)</f>
        <v>4697</v>
      </c>
      <c r="C110" s="48">
        <f t="shared" si="32"/>
        <v>4697</v>
      </c>
      <c r="D110" s="48">
        <f t="shared" si="32"/>
        <v>4697</v>
      </c>
      <c r="E110" s="48">
        <f t="shared" si="32"/>
        <v>4697</v>
      </c>
      <c r="F110" s="48">
        <f t="shared" si="32"/>
        <v>4697</v>
      </c>
      <c r="G110" s="48">
        <f t="shared" si="32"/>
        <v>4697</v>
      </c>
      <c r="H110" s="48">
        <f t="shared" si="32"/>
        <v>4697</v>
      </c>
      <c r="I110" s="48">
        <f t="shared" si="32"/>
        <v>4697</v>
      </c>
      <c r="J110" s="48">
        <f t="shared" si="32"/>
        <v>4697</v>
      </c>
      <c r="K110" s="48">
        <f t="shared" si="32"/>
        <v>4697</v>
      </c>
      <c r="L110" s="48">
        <f t="shared" si="32"/>
        <v>4697</v>
      </c>
      <c r="M110" s="48">
        <f t="shared" si="32"/>
        <v>4864</v>
      </c>
      <c r="N110" s="38">
        <f>SUM(B110:M110)</f>
        <v>56531</v>
      </c>
    </row>
    <row r="111" spans="1:14" ht="13.5">
      <c r="A111" s="15" t="s">
        <v>593</v>
      </c>
      <c r="B111" s="38">
        <f aca="true" t="shared" si="33" ref="B111:M111">B110*B113</f>
        <v>1440.38202</v>
      </c>
      <c r="C111" s="48">
        <f t="shared" si="33"/>
        <v>1465.9337</v>
      </c>
      <c r="D111" s="48">
        <f t="shared" si="33"/>
        <v>1464.0548999999999</v>
      </c>
      <c r="E111" s="48">
        <f t="shared" si="33"/>
        <v>1443.8578</v>
      </c>
      <c r="F111" s="48">
        <f t="shared" si="33"/>
        <v>1456.07</v>
      </c>
      <c r="G111" s="48">
        <f t="shared" si="33"/>
        <v>1472.5095000000001</v>
      </c>
      <c r="H111" s="48">
        <f t="shared" si="33"/>
        <v>1564.101</v>
      </c>
      <c r="I111" s="48">
        <f t="shared" si="33"/>
        <v>1618.5862000000002</v>
      </c>
      <c r="J111" s="48">
        <f t="shared" si="33"/>
        <v>1493.1763</v>
      </c>
      <c r="K111" s="48">
        <f t="shared" si="33"/>
        <v>1472.9792</v>
      </c>
      <c r="L111" s="48">
        <f t="shared" si="33"/>
        <v>1480.0247</v>
      </c>
      <c r="M111" s="48">
        <f t="shared" si="33"/>
        <v>1525.8367999999998</v>
      </c>
      <c r="N111" s="38">
        <f>SUM(B111:M111)</f>
        <v>17897.51212</v>
      </c>
    </row>
    <row r="112" spans="1:14" ht="13.5">
      <c r="A112" s="45" t="s">
        <v>594</v>
      </c>
      <c r="B112" s="437">
        <f aca="true" t="shared" si="34" ref="B112:N112">B111/B110</f>
        <v>0.30666</v>
      </c>
      <c r="C112" s="438">
        <f t="shared" si="34"/>
        <v>0.3121</v>
      </c>
      <c r="D112" s="438">
        <f t="shared" si="34"/>
        <v>0.3117</v>
      </c>
      <c r="E112" s="438">
        <f t="shared" si="34"/>
        <v>0.3074</v>
      </c>
      <c r="F112" s="438">
        <f t="shared" si="34"/>
        <v>0.31</v>
      </c>
      <c r="G112" s="438">
        <f t="shared" si="34"/>
        <v>0.3135</v>
      </c>
      <c r="H112" s="438">
        <f t="shared" si="34"/>
        <v>0.333</v>
      </c>
      <c r="I112" s="438">
        <f t="shared" si="34"/>
        <v>0.3446</v>
      </c>
      <c r="J112" s="438">
        <f t="shared" si="34"/>
        <v>0.3179</v>
      </c>
      <c r="K112" s="438">
        <f t="shared" si="34"/>
        <v>0.3136</v>
      </c>
      <c r="L112" s="438">
        <f t="shared" si="34"/>
        <v>0.3151</v>
      </c>
      <c r="M112" s="438">
        <f t="shared" si="34"/>
        <v>0.3137</v>
      </c>
      <c r="N112" s="437">
        <f t="shared" si="34"/>
        <v>0.3165964182483947</v>
      </c>
    </row>
    <row r="113" spans="1:14" ht="15">
      <c r="A113" s="439"/>
      <c r="B113" s="437">
        <v>0.30666</v>
      </c>
      <c r="C113" s="438">
        <v>0.3121</v>
      </c>
      <c r="D113" s="438">
        <v>0.3117</v>
      </c>
      <c r="E113" s="438">
        <v>0.3074</v>
      </c>
      <c r="F113" s="438">
        <v>0.31</v>
      </c>
      <c r="G113" s="438">
        <v>0.3135</v>
      </c>
      <c r="H113" s="438">
        <v>0.333</v>
      </c>
      <c r="I113" s="438">
        <v>0.3446</v>
      </c>
      <c r="J113" s="438">
        <v>0.3179</v>
      </c>
      <c r="K113" s="438">
        <v>0.3136</v>
      </c>
      <c r="L113" s="438">
        <v>0.3151</v>
      </c>
      <c r="M113" s="438">
        <v>0.3137</v>
      </c>
      <c r="N113" s="44"/>
    </row>
    <row r="118" spans="1:14" ht="13.5">
      <c r="A118" s="425"/>
      <c r="B118" s="426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7">
        <v>2022</v>
      </c>
    </row>
    <row r="119" spans="1:14" ht="13.5">
      <c r="A119" s="428" t="s">
        <v>58</v>
      </c>
      <c r="B119" s="429" t="s">
        <v>576</v>
      </c>
      <c r="C119" s="430" t="s">
        <v>577</v>
      </c>
      <c r="D119" s="430" t="s">
        <v>578</v>
      </c>
      <c r="E119" s="430" t="s">
        <v>579</v>
      </c>
      <c r="F119" s="430" t="s">
        <v>580</v>
      </c>
      <c r="G119" s="430" t="s">
        <v>581</v>
      </c>
      <c r="H119" s="430" t="s">
        <v>582</v>
      </c>
      <c r="I119" s="430" t="s">
        <v>583</v>
      </c>
      <c r="J119" s="430" t="s">
        <v>584</v>
      </c>
      <c r="K119" s="430" t="s">
        <v>585</v>
      </c>
      <c r="L119" s="430" t="s">
        <v>586</v>
      </c>
      <c r="M119" s="430" t="s">
        <v>587</v>
      </c>
      <c r="N119" s="429" t="s">
        <v>550</v>
      </c>
    </row>
    <row r="120" spans="1:14" ht="13.5">
      <c r="A120" s="431"/>
      <c r="B120" s="66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3"/>
    </row>
    <row r="121" spans="1:14" ht="13.5">
      <c r="A121" s="45"/>
      <c r="B121" s="42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2"/>
    </row>
    <row r="122" spans="1:14" ht="13.5">
      <c r="A122" s="434" t="s">
        <v>588</v>
      </c>
      <c r="B122" s="38">
        <f>M107</f>
        <v>4504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38"/>
    </row>
    <row r="123" spans="1:15" ht="13.5">
      <c r="A123" s="431" t="s">
        <v>589</v>
      </c>
      <c r="B123" s="435">
        <f>B122</f>
        <v>4504</v>
      </c>
      <c r="C123" s="436">
        <f>B123-10</f>
        <v>4494</v>
      </c>
      <c r="D123" s="436">
        <f aca="true" t="shared" si="35" ref="D123:L123">C123-10</f>
        <v>4484</v>
      </c>
      <c r="E123" s="436">
        <f t="shared" si="35"/>
        <v>4474</v>
      </c>
      <c r="F123" s="436">
        <f t="shared" si="35"/>
        <v>4464</v>
      </c>
      <c r="G123" s="436">
        <f t="shared" si="35"/>
        <v>4454</v>
      </c>
      <c r="H123" s="436">
        <f t="shared" si="35"/>
        <v>4444</v>
      </c>
      <c r="I123" s="436">
        <f t="shared" si="35"/>
        <v>4434</v>
      </c>
      <c r="J123" s="436">
        <f t="shared" si="35"/>
        <v>4424</v>
      </c>
      <c r="K123" s="436">
        <f t="shared" si="35"/>
        <v>4414</v>
      </c>
      <c r="L123" s="436">
        <f t="shared" si="35"/>
        <v>4404</v>
      </c>
      <c r="M123" s="436">
        <f>L123</f>
        <v>4404</v>
      </c>
      <c r="N123" s="38"/>
      <c r="O123" s="435">
        <f>+M123-B122</f>
        <v>-100</v>
      </c>
    </row>
    <row r="124" spans="1:14" ht="13.5">
      <c r="A124" s="431" t="s">
        <v>590</v>
      </c>
      <c r="B124" s="38">
        <f>(B122+B123)/2</f>
        <v>4504</v>
      </c>
      <c r="C124" s="48">
        <f aca="true" t="shared" si="36" ref="C124:M124">(B123+C123)/2</f>
        <v>4499</v>
      </c>
      <c r="D124" s="48">
        <f t="shared" si="36"/>
        <v>4489</v>
      </c>
      <c r="E124" s="48">
        <f t="shared" si="36"/>
        <v>4479</v>
      </c>
      <c r="F124" s="48">
        <f t="shared" si="36"/>
        <v>4469</v>
      </c>
      <c r="G124" s="48">
        <f t="shared" si="36"/>
        <v>4459</v>
      </c>
      <c r="H124" s="48">
        <f t="shared" si="36"/>
        <v>4449</v>
      </c>
      <c r="I124" s="48">
        <f t="shared" si="36"/>
        <v>4439</v>
      </c>
      <c r="J124" s="48">
        <f t="shared" si="36"/>
        <v>4429</v>
      </c>
      <c r="K124" s="48">
        <f t="shared" si="36"/>
        <v>4419</v>
      </c>
      <c r="L124" s="48">
        <f t="shared" si="36"/>
        <v>4409</v>
      </c>
      <c r="M124" s="48">
        <f t="shared" si="36"/>
        <v>4404</v>
      </c>
      <c r="N124" s="38">
        <f>SUM(B124:M124)/12</f>
        <v>4454</v>
      </c>
    </row>
    <row r="125" spans="1:15" ht="13.5">
      <c r="A125" s="431" t="s">
        <v>591</v>
      </c>
      <c r="B125" s="42">
        <f>1056*1.048</f>
        <v>1106.688</v>
      </c>
      <c r="C125" s="44">
        <f aca="true" t="shared" si="37" ref="C125:L125">1056*1.048</f>
        <v>1106.688</v>
      </c>
      <c r="D125" s="44">
        <f t="shared" si="37"/>
        <v>1106.688</v>
      </c>
      <c r="E125" s="44">
        <f t="shared" si="37"/>
        <v>1106.688</v>
      </c>
      <c r="F125" s="44">
        <f t="shared" si="37"/>
        <v>1106.688</v>
      </c>
      <c r="G125" s="44">
        <f t="shared" si="37"/>
        <v>1106.688</v>
      </c>
      <c r="H125" s="44">
        <f t="shared" si="37"/>
        <v>1106.688</v>
      </c>
      <c r="I125" s="44">
        <f t="shared" si="37"/>
        <v>1106.688</v>
      </c>
      <c r="J125" s="44">
        <f t="shared" si="37"/>
        <v>1106.688</v>
      </c>
      <c r="K125" s="44">
        <f t="shared" si="37"/>
        <v>1106.688</v>
      </c>
      <c r="L125" s="44">
        <f t="shared" si="37"/>
        <v>1106.688</v>
      </c>
      <c r="M125" s="44">
        <v>1150</v>
      </c>
      <c r="N125" s="66">
        <f>INT(N126/N124/12*1000+0.5)</f>
        <v>1110</v>
      </c>
      <c r="O125" s="440">
        <f>+N125/N13-1</f>
        <v>0.3074204946996466</v>
      </c>
    </row>
    <row r="126" spans="1:14" ht="13.5">
      <c r="A126" s="45" t="s">
        <v>592</v>
      </c>
      <c r="B126" s="38">
        <f aca="true" t="shared" si="38" ref="B126:M126">INT(B125*B124/1000+0.5)</f>
        <v>4985</v>
      </c>
      <c r="C126" s="48">
        <f t="shared" si="38"/>
        <v>4979</v>
      </c>
      <c r="D126" s="48">
        <f t="shared" si="38"/>
        <v>4968</v>
      </c>
      <c r="E126" s="48">
        <f t="shared" si="38"/>
        <v>4957</v>
      </c>
      <c r="F126" s="48">
        <f t="shared" si="38"/>
        <v>4946</v>
      </c>
      <c r="G126" s="48">
        <f t="shared" si="38"/>
        <v>4935</v>
      </c>
      <c r="H126" s="48">
        <f t="shared" si="38"/>
        <v>4924</v>
      </c>
      <c r="I126" s="48">
        <f t="shared" si="38"/>
        <v>4913</v>
      </c>
      <c r="J126" s="48">
        <f t="shared" si="38"/>
        <v>4902</v>
      </c>
      <c r="K126" s="48">
        <f t="shared" si="38"/>
        <v>4890</v>
      </c>
      <c r="L126" s="48">
        <f t="shared" si="38"/>
        <v>4879</v>
      </c>
      <c r="M126" s="48">
        <f t="shared" si="38"/>
        <v>5065</v>
      </c>
      <c r="N126" s="38">
        <f>SUM(B126:M126)</f>
        <v>59343</v>
      </c>
    </row>
    <row r="127" spans="1:14" ht="13.5">
      <c r="A127" s="45" t="s">
        <v>593</v>
      </c>
      <c r="B127" s="38">
        <f aca="true" t="shared" si="39" ref="B127:M127">B126*B129</f>
        <v>1528.7001</v>
      </c>
      <c r="C127" s="48">
        <f t="shared" si="39"/>
        <v>1553.9459</v>
      </c>
      <c r="D127" s="48">
        <f t="shared" si="39"/>
        <v>1548.5256</v>
      </c>
      <c r="E127" s="48">
        <f t="shared" si="39"/>
        <v>1523.7818</v>
      </c>
      <c r="F127" s="48">
        <f t="shared" si="39"/>
        <v>1533.26</v>
      </c>
      <c r="G127" s="48">
        <f t="shared" si="39"/>
        <v>1547.1225</v>
      </c>
      <c r="H127" s="48">
        <f t="shared" si="39"/>
        <v>1639.692</v>
      </c>
      <c r="I127" s="48">
        <f t="shared" si="39"/>
        <v>1693.0198</v>
      </c>
      <c r="J127" s="48">
        <f t="shared" si="39"/>
        <v>1558.3458</v>
      </c>
      <c r="K127" s="48">
        <f t="shared" si="39"/>
        <v>1533.504</v>
      </c>
      <c r="L127" s="48">
        <f t="shared" si="39"/>
        <v>1537.3728999999998</v>
      </c>
      <c r="M127" s="48">
        <f t="shared" si="39"/>
        <v>1588.8905</v>
      </c>
      <c r="N127" s="38">
        <f>SUM(B127:M127)</f>
        <v>18786.160900000003</v>
      </c>
    </row>
    <row r="128" spans="1:14" ht="13.5">
      <c r="A128" s="45" t="s">
        <v>594</v>
      </c>
      <c r="B128" s="437">
        <f aca="true" t="shared" si="40" ref="B128:N128">B127/B126</f>
        <v>0.30666</v>
      </c>
      <c r="C128" s="438">
        <f t="shared" si="40"/>
        <v>0.3121</v>
      </c>
      <c r="D128" s="438">
        <f t="shared" si="40"/>
        <v>0.3117</v>
      </c>
      <c r="E128" s="438">
        <f t="shared" si="40"/>
        <v>0.3074</v>
      </c>
      <c r="F128" s="438">
        <f t="shared" si="40"/>
        <v>0.31</v>
      </c>
      <c r="G128" s="438">
        <f t="shared" si="40"/>
        <v>0.3135</v>
      </c>
      <c r="H128" s="438">
        <f t="shared" si="40"/>
        <v>0.333</v>
      </c>
      <c r="I128" s="438">
        <f t="shared" si="40"/>
        <v>0.3446</v>
      </c>
      <c r="J128" s="438">
        <f t="shared" si="40"/>
        <v>0.3179</v>
      </c>
      <c r="K128" s="438">
        <f t="shared" si="40"/>
        <v>0.3136</v>
      </c>
      <c r="L128" s="438">
        <f t="shared" si="40"/>
        <v>0.3151</v>
      </c>
      <c r="M128" s="438">
        <f t="shared" si="40"/>
        <v>0.3137</v>
      </c>
      <c r="N128" s="437">
        <f t="shared" si="40"/>
        <v>0.3165691134590432</v>
      </c>
    </row>
    <row r="129" spans="1:14" ht="15">
      <c r="A129" s="439"/>
      <c r="B129" s="437">
        <v>0.30666</v>
      </c>
      <c r="C129" s="438">
        <v>0.3121</v>
      </c>
      <c r="D129" s="438">
        <v>0.3117</v>
      </c>
      <c r="E129" s="438">
        <v>0.3074</v>
      </c>
      <c r="F129" s="438">
        <v>0.31</v>
      </c>
      <c r="G129" s="438">
        <v>0.3135</v>
      </c>
      <c r="H129" s="438">
        <v>0.333</v>
      </c>
      <c r="I129" s="438">
        <v>0.3446</v>
      </c>
      <c r="J129" s="438">
        <v>0.3179</v>
      </c>
      <c r="K129" s="438">
        <v>0.3136</v>
      </c>
      <c r="L129" s="438">
        <v>0.3151</v>
      </c>
      <c r="M129" s="438">
        <v>0.3137</v>
      </c>
      <c r="N129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9.140625" defaultRowHeight="12.75" outlineLevelRow="1" outlineLevelCol="1"/>
  <cols>
    <col min="1" max="1" width="51.28125" style="4" customWidth="1"/>
    <col min="2" max="2" width="13.421875" style="4" customWidth="1" outlineLevel="1"/>
    <col min="3" max="4" width="12.28125" style="4" customWidth="1" outlineLevel="1"/>
    <col min="5" max="6" width="12.28125" style="134" customWidth="1" outlineLevel="1"/>
    <col min="7" max="7" width="13.00390625" style="134" customWidth="1" outlineLevel="1" collapsed="1"/>
    <col min="8" max="9" width="12.28125" style="134" customWidth="1" outlineLevel="1"/>
    <col min="10" max="10" width="12.140625" style="4" customWidth="1"/>
    <col min="11" max="12" width="11.421875" style="4" customWidth="1"/>
    <col min="13" max="13" width="9.8515625" style="4" bestFit="1" customWidth="1"/>
    <col min="14" max="17" width="9.8515625" style="10" bestFit="1" customWidth="1"/>
    <col min="18" max="18" width="9.140625" style="4" customWidth="1" outlineLevel="1"/>
    <col min="19" max="19" width="15.140625" style="4" customWidth="1" outlineLevel="1"/>
    <col min="20" max="24" width="9.140625" style="4" customWidth="1" outlineLevel="1"/>
    <col min="25" max="27" width="9.140625" style="10" customWidth="1" outlineLevel="1"/>
    <col min="28" max="28" width="9.140625" style="10" customWidth="1"/>
    <col min="29" max="16384" width="9.140625" style="4" customWidth="1"/>
  </cols>
  <sheetData>
    <row r="1" spans="1:28" ht="12.75">
      <c r="A1" s="134"/>
      <c r="B1" s="134"/>
      <c r="K1" s="7"/>
      <c r="L1" s="7"/>
      <c r="N1" s="4"/>
      <c r="O1" s="4"/>
      <c r="P1" s="4"/>
      <c r="Q1" s="4"/>
      <c r="Y1" s="4"/>
      <c r="Z1" s="4"/>
      <c r="AA1" s="4"/>
      <c r="AB1" s="4"/>
    </row>
    <row r="2" spans="1:28" ht="15.75" collapsed="1">
      <c r="A2" s="135" t="s">
        <v>115</v>
      </c>
      <c r="B2" s="135"/>
      <c r="C2" s="135"/>
      <c r="D2" s="135"/>
      <c r="E2" s="136"/>
      <c r="F2" s="136"/>
      <c r="G2" s="136"/>
      <c r="H2" s="136"/>
      <c r="I2" s="68"/>
      <c r="J2" s="136"/>
      <c r="K2" s="783"/>
      <c r="L2" s="783"/>
      <c r="N2" s="4"/>
      <c r="O2" s="784" t="s">
        <v>620</v>
      </c>
      <c r="P2" s="784"/>
      <c r="Q2" s="784"/>
      <c r="Y2" s="4"/>
      <c r="Z2" s="4"/>
      <c r="AA2" s="4"/>
      <c r="AB2" s="4"/>
    </row>
    <row r="3" spans="1:28" ht="12.75">
      <c r="A3" s="134"/>
      <c r="B3" s="134"/>
      <c r="C3" s="134"/>
      <c r="D3" s="134"/>
      <c r="E3" s="137"/>
      <c r="I3" s="137"/>
      <c r="J3" s="137"/>
      <c r="K3" s="137"/>
      <c r="L3" s="137"/>
      <c r="N3" s="4"/>
      <c r="O3" s="4"/>
      <c r="P3" s="4"/>
      <c r="Q3" s="137" t="s">
        <v>116</v>
      </c>
      <c r="Y3" s="4"/>
      <c r="Z3" s="4"/>
      <c r="AA3" s="4"/>
      <c r="AB3" s="4"/>
    </row>
    <row r="4" spans="1:28" ht="12.75">
      <c r="A4" s="138" t="s">
        <v>117</v>
      </c>
      <c r="B4" s="139" t="s">
        <v>3</v>
      </c>
      <c r="C4" s="139" t="s">
        <v>3</v>
      </c>
      <c r="D4" s="139" t="s">
        <v>3</v>
      </c>
      <c r="E4" s="139" t="s">
        <v>118</v>
      </c>
      <c r="F4" s="140" t="s">
        <v>3</v>
      </c>
      <c r="G4" s="140" t="s">
        <v>118</v>
      </c>
      <c r="H4" s="140" t="s">
        <v>118</v>
      </c>
      <c r="I4" s="140" t="s">
        <v>500</v>
      </c>
      <c r="J4" s="140" t="s">
        <v>119</v>
      </c>
      <c r="K4" s="140" t="s">
        <v>119</v>
      </c>
      <c r="L4" s="140" t="s">
        <v>119</v>
      </c>
      <c r="M4" s="140" t="s">
        <v>119</v>
      </c>
      <c r="N4" s="140" t="s">
        <v>119</v>
      </c>
      <c r="O4" s="140" t="s">
        <v>119</v>
      </c>
      <c r="P4" s="140" t="s">
        <v>119</v>
      </c>
      <c r="Q4" s="140" t="s">
        <v>119</v>
      </c>
      <c r="Y4" s="4"/>
      <c r="Z4" s="4"/>
      <c r="AA4" s="4"/>
      <c r="AB4" s="4"/>
    </row>
    <row r="5" spans="1:28" ht="12.75">
      <c r="A5" s="141" t="s">
        <v>120</v>
      </c>
      <c r="B5" s="142">
        <v>39447</v>
      </c>
      <c r="C5" s="142">
        <v>39813</v>
      </c>
      <c r="D5" s="142">
        <v>40178</v>
      </c>
      <c r="E5" s="142">
        <v>40543</v>
      </c>
      <c r="F5" s="142" t="s">
        <v>121</v>
      </c>
      <c r="G5" s="142">
        <v>41274</v>
      </c>
      <c r="H5" s="142">
        <v>41639</v>
      </c>
      <c r="I5" s="142">
        <v>42004</v>
      </c>
      <c r="J5" s="142">
        <v>42369</v>
      </c>
      <c r="K5" s="142">
        <v>42735</v>
      </c>
      <c r="L5" s="143">
        <v>43100</v>
      </c>
      <c r="M5" s="143">
        <v>43465</v>
      </c>
      <c r="N5" s="143">
        <v>43830</v>
      </c>
      <c r="O5" s="143">
        <v>44196</v>
      </c>
      <c r="P5" s="143">
        <v>44561</v>
      </c>
      <c r="Q5" s="143">
        <v>44926</v>
      </c>
      <c r="T5" s="4">
        <v>2015</v>
      </c>
      <c r="U5" s="4">
        <v>2016</v>
      </c>
      <c r="V5" s="4">
        <v>2017</v>
      </c>
      <c r="W5" s="4">
        <v>2018</v>
      </c>
      <c r="X5" s="4">
        <v>2019</v>
      </c>
      <c r="Y5" s="4">
        <v>2020</v>
      </c>
      <c r="Z5" s="4">
        <v>2021</v>
      </c>
      <c r="AA5" s="4">
        <v>2022</v>
      </c>
      <c r="AB5" s="4"/>
    </row>
    <row r="6" spans="1:28" ht="12.75">
      <c r="A6" s="144" t="s">
        <v>122</v>
      </c>
      <c r="B6" s="361"/>
      <c r="C6" s="145"/>
      <c r="D6" s="145"/>
      <c r="E6" s="145"/>
      <c r="F6" s="145"/>
      <c r="G6" s="9"/>
      <c r="H6" s="9"/>
      <c r="I6" s="9"/>
      <c r="J6" s="9"/>
      <c r="K6" s="9"/>
      <c r="L6" s="8"/>
      <c r="N6" s="4"/>
      <c r="O6" s="4"/>
      <c r="P6" s="4"/>
      <c r="Q6" s="4"/>
      <c r="S6" s="3" t="s">
        <v>123</v>
      </c>
      <c r="T6" s="3">
        <v>506</v>
      </c>
      <c r="U6" s="3">
        <v>506</v>
      </c>
      <c r="V6" s="3">
        <v>506</v>
      </c>
      <c r="W6" s="3">
        <v>507</v>
      </c>
      <c r="X6" s="3">
        <v>508</v>
      </c>
      <c r="Y6" s="3">
        <v>509</v>
      </c>
      <c r="Z6" s="3">
        <v>510</v>
      </c>
      <c r="AA6" s="3">
        <v>511</v>
      </c>
      <c r="AB6" s="4"/>
    </row>
    <row r="7" spans="1:28" ht="12.75">
      <c r="A7" s="146" t="s">
        <v>124</v>
      </c>
      <c r="B7" s="360"/>
      <c r="C7" s="147"/>
      <c r="D7" s="147"/>
      <c r="E7" s="147"/>
      <c r="F7" s="147"/>
      <c r="G7" s="8"/>
      <c r="H7" s="8"/>
      <c r="I7" s="8"/>
      <c r="J7" s="8"/>
      <c r="K7" s="8"/>
      <c r="L7" s="8"/>
      <c r="N7" s="4"/>
      <c r="O7" s="4"/>
      <c r="P7" s="4"/>
      <c r="Q7" s="4"/>
      <c r="S7" s="3" t="s">
        <v>125</v>
      </c>
      <c r="T7" s="3">
        <f>OPR!J55</f>
        <v>86501</v>
      </c>
      <c r="U7" s="3">
        <f>OPR!K55</f>
        <v>59357</v>
      </c>
      <c r="V7" s="3">
        <f>OPR!L55</f>
        <v>61912</v>
      </c>
      <c r="W7" s="3">
        <f>OPR!M55</f>
        <v>64606</v>
      </c>
      <c r="X7" s="3">
        <f>OPR!N55</f>
        <v>84187</v>
      </c>
      <c r="Y7" s="3">
        <f>OPR!O55</f>
        <v>97683</v>
      </c>
      <c r="Z7" s="3">
        <f>OPR!P55</f>
        <v>101446</v>
      </c>
      <c r="AA7" s="3">
        <f>OPR!Q55</f>
        <v>112041</v>
      </c>
      <c r="AB7" s="4"/>
    </row>
    <row r="8" spans="1:28" ht="12.75" outlineLevel="1">
      <c r="A8" s="148" t="s">
        <v>126</v>
      </c>
      <c r="B8" s="149">
        <v>408</v>
      </c>
      <c r="C8" s="149">
        <v>28685</v>
      </c>
      <c r="D8" s="149">
        <v>29209</v>
      </c>
      <c r="E8" s="149">
        <v>29209</v>
      </c>
      <c r="F8" s="149">
        <v>39393</v>
      </c>
      <c r="G8" s="3">
        <v>39393</v>
      </c>
      <c r="H8" s="85">
        <v>39393</v>
      </c>
      <c r="I8" s="85">
        <v>40932</v>
      </c>
      <c r="J8" s="85">
        <v>44573</v>
      </c>
      <c r="K8" s="3">
        <f aca="true" t="shared" si="0" ref="K8:Q8">J8</f>
        <v>44573</v>
      </c>
      <c r="L8" s="3">
        <f t="shared" si="0"/>
        <v>44573</v>
      </c>
      <c r="M8" s="3">
        <f t="shared" si="0"/>
        <v>44573</v>
      </c>
      <c r="N8" s="3">
        <f t="shared" si="0"/>
        <v>44573</v>
      </c>
      <c r="O8" s="3">
        <f t="shared" si="0"/>
        <v>44573</v>
      </c>
      <c r="P8" s="3">
        <f t="shared" si="0"/>
        <v>44573</v>
      </c>
      <c r="Q8" s="3">
        <f t="shared" si="0"/>
        <v>44573</v>
      </c>
      <c r="S8" s="3" t="s">
        <v>127</v>
      </c>
      <c r="T8" s="3">
        <f>OPR!W65</f>
        <v>32097</v>
      </c>
      <c r="U8" s="3">
        <f>OPR!X65</f>
        <v>10948</v>
      </c>
      <c r="V8" s="3">
        <f>OPR!Y65</f>
        <v>10949</v>
      </c>
      <c r="W8" s="3">
        <f>OPR!Z65</f>
        <v>10951</v>
      </c>
      <c r="X8" s="3">
        <f>OPR!AA65</f>
        <v>27451</v>
      </c>
      <c r="Y8" s="3">
        <f>OPR!AB65</f>
        <v>37949</v>
      </c>
      <c r="Z8" s="3">
        <f>OPR!AC65</f>
        <v>45952</v>
      </c>
      <c r="AA8" s="3">
        <f>OPR!AD65</f>
        <v>53949</v>
      </c>
      <c r="AB8" s="4"/>
    </row>
    <row r="9" spans="1:28" ht="12.75" outlineLevel="1">
      <c r="A9" s="148" t="s">
        <v>128</v>
      </c>
      <c r="B9" s="149">
        <v>3271</v>
      </c>
      <c r="C9" s="149">
        <v>3119</v>
      </c>
      <c r="D9" s="149">
        <v>2928</v>
      </c>
      <c r="E9" s="149">
        <v>2731</v>
      </c>
      <c r="F9" s="149">
        <v>12482</v>
      </c>
      <c r="G9" s="3">
        <v>11777</v>
      </c>
      <c r="H9" s="85">
        <v>10938</v>
      </c>
      <c r="I9" s="85">
        <v>11518</v>
      </c>
      <c r="J9" s="85">
        <v>10618</v>
      </c>
      <c r="K9" s="409">
        <f>J9+200-46</f>
        <v>10772</v>
      </c>
      <c r="L9" s="3">
        <f aca="true" t="shared" si="1" ref="L9:Q9">K9-46</f>
        <v>10726</v>
      </c>
      <c r="M9" s="3">
        <f t="shared" si="1"/>
        <v>10680</v>
      </c>
      <c r="N9" s="3">
        <f t="shared" si="1"/>
        <v>10634</v>
      </c>
      <c r="O9" s="3">
        <f t="shared" si="1"/>
        <v>10588</v>
      </c>
      <c r="P9" s="3">
        <f t="shared" si="1"/>
        <v>10542</v>
      </c>
      <c r="Q9" s="3">
        <f t="shared" si="1"/>
        <v>10496</v>
      </c>
      <c r="S9" s="3" t="s">
        <v>123</v>
      </c>
      <c r="T9" s="3">
        <f aca="true" t="shared" si="2" ref="T9:AA9">T7-T6-T8</f>
        <v>53898</v>
      </c>
      <c r="U9" s="3">
        <f t="shared" si="2"/>
        <v>47903</v>
      </c>
      <c r="V9" s="3">
        <f t="shared" si="2"/>
        <v>50457</v>
      </c>
      <c r="W9" s="3">
        <f t="shared" si="2"/>
        <v>53148</v>
      </c>
      <c r="X9" s="3">
        <f t="shared" si="2"/>
        <v>56228</v>
      </c>
      <c r="Y9" s="3">
        <f t="shared" si="2"/>
        <v>59225</v>
      </c>
      <c r="Z9" s="3">
        <f t="shared" si="2"/>
        <v>54984</v>
      </c>
      <c r="AA9" s="3">
        <f t="shared" si="2"/>
        <v>57581</v>
      </c>
      <c r="AB9" s="4"/>
    </row>
    <row r="10" spans="1:28" ht="12.75" outlineLevel="1">
      <c r="A10" s="148" t="s">
        <v>129</v>
      </c>
      <c r="B10" s="149">
        <v>2330</v>
      </c>
      <c r="C10" s="149">
        <v>2057</v>
      </c>
      <c r="D10" s="149">
        <v>2305</v>
      </c>
      <c r="E10" s="149">
        <v>1946</v>
      </c>
      <c r="F10" s="149">
        <v>3034</v>
      </c>
      <c r="G10" s="3">
        <v>2517</v>
      </c>
      <c r="H10" s="85">
        <v>2152</v>
      </c>
      <c r="I10" s="85">
        <v>2150</v>
      </c>
      <c r="J10" s="85">
        <v>1682</v>
      </c>
      <c r="K10" s="409">
        <f>+J10+300+parichen_potok!E79+parichen_potok!E74+parichen_potok!E75</f>
        <v>6982</v>
      </c>
      <c r="L10" s="409">
        <f>K10+parichen_potok!F74+parichen_potok!E75-290</f>
        <v>10692</v>
      </c>
      <c r="M10" s="409">
        <f>L10+parichen_potok!G74+parichen_potok!F75-290</f>
        <v>14402</v>
      </c>
      <c r="N10" s="409">
        <f>M10+parichen_potok!H74+parichen_potok!G75-290</f>
        <v>18112</v>
      </c>
      <c r="O10" s="409">
        <f>N10+parichen_potok!I74+parichen_potok!H75-290</f>
        <v>19322</v>
      </c>
      <c r="P10" s="409">
        <f>O10+parichen_potok!J74+parichen_potok!I75-290</f>
        <v>19032</v>
      </c>
      <c r="Q10" s="409">
        <f>P10+parichen_potok!K74+parichen_potok!J75-290</f>
        <v>18742</v>
      </c>
      <c r="S10" s="3" t="s">
        <v>130</v>
      </c>
      <c r="T10" s="3">
        <f>OPR!W15+OPR!W27</f>
        <v>20938</v>
      </c>
      <c r="U10" s="3">
        <f>parichen_potok!E98+parichen_potok!D97+2730-parichen_potok!E74-parichen_potok!E75-parichen_potok!E79-parichen_potok!E77</f>
        <v>41548</v>
      </c>
      <c r="V10" s="3">
        <f>parichen_potok!F98-parichen_potok!F74-parichen_potok!F75-parichen_potok!F77</f>
        <v>36698</v>
      </c>
      <c r="W10" s="3">
        <f>parichen_potok!G98-parichen_potok!G74-parichen_potok!G75-parichen_potok!G77</f>
        <v>36016</v>
      </c>
      <c r="X10" s="3">
        <f>parichen_potok!H98-parichen_potok!H74-parichen_potok!H75-parichen_potok!H77</f>
        <v>207788</v>
      </c>
      <c r="Y10" s="3">
        <f>parichen_potok!I98-parichen_potok!I74-parichen_potok!I75-parichen_potok!I77</f>
        <v>140318</v>
      </c>
      <c r="Z10" s="3">
        <f>parichen_potok!J98-parichen_potok!J74-parichen_potok!J75-parichen_potok!J77</f>
        <v>117144</v>
      </c>
      <c r="AA10" s="3">
        <f>parichen_potok!K98-parichen_potok!K74-parichen_potok!K75-parichen_potok!K77</f>
        <v>94513</v>
      </c>
      <c r="AB10" s="4"/>
    </row>
    <row r="11" spans="1:28" ht="12.75" outlineLevel="1">
      <c r="A11" s="148" t="s">
        <v>131</v>
      </c>
      <c r="B11" s="149">
        <v>5196</v>
      </c>
      <c r="C11" s="149">
        <v>5107</v>
      </c>
      <c r="D11" s="149">
        <v>4780</v>
      </c>
      <c r="E11" s="149">
        <v>4453</v>
      </c>
      <c r="F11" s="149">
        <v>8338</v>
      </c>
      <c r="G11" s="3">
        <v>7885</v>
      </c>
      <c r="H11" s="85">
        <v>7253</v>
      </c>
      <c r="I11" s="85">
        <v>7000</v>
      </c>
      <c r="J11" s="85">
        <v>6628</v>
      </c>
      <c r="K11" s="3">
        <f aca="true" t="shared" si="3" ref="K11:Q11">J11-225</f>
        <v>6403</v>
      </c>
      <c r="L11" s="3">
        <f t="shared" si="3"/>
        <v>6178</v>
      </c>
      <c r="M11" s="3">
        <f t="shared" si="3"/>
        <v>5953</v>
      </c>
      <c r="N11" s="3">
        <f t="shared" si="3"/>
        <v>5728</v>
      </c>
      <c r="O11" s="3">
        <f t="shared" si="3"/>
        <v>5503</v>
      </c>
      <c r="P11" s="3">
        <f t="shared" si="3"/>
        <v>5278</v>
      </c>
      <c r="Q11" s="3">
        <f t="shared" si="3"/>
        <v>5053</v>
      </c>
      <c r="S11" s="85" t="s">
        <v>563</v>
      </c>
      <c r="T11" s="3"/>
      <c r="U11" s="3"/>
      <c r="V11" s="3"/>
      <c r="X11" s="3">
        <f>150000+15000</f>
        <v>165000</v>
      </c>
      <c r="Y11" s="3">
        <f>90000+15000</f>
        <v>105000</v>
      </c>
      <c r="Z11" s="3">
        <v>80000</v>
      </c>
      <c r="AA11" s="3">
        <v>80000</v>
      </c>
      <c r="AB11" s="4"/>
    </row>
    <row r="12" spans="1:28" ht="12.75" outlineLevel="1">
      <c r="A12" s="148" t="s">
        <v>132</v>
      </c>
      <c r="B12" s="149">
        <v>147</v>
      </c>
      <c r="C12" s="149">
        <v>120</v>
      </c>
      <c r="D12" s="149">
        <v>97</v>
      </c>
      <c r="E12" s="149">
        <f>75</f>
        <v>75</v>
      </c>
      <c r="F12" s="149">
        <v>381751</v>
      </c>
      <c r="G12" s="3">
        <f>322940-14</f>
        <v>322926</v>
      </c>
      <c r="H12" s="85">
        <v>328469</v>
      </c>
      <c r="I12" s="85">
        <v>256964</v>
      </c>
      <c r="J12" s="409">
        <v>390374</v>
      </c>
      <c r="K12" s="3">
        <f>J12+U10-U7</f>
        <v>372565</v>
      </c>
      <c r="L12" s="3">
        <f aca="true" t="shared" si="4" ref="L12:Q12">K12+V10-V7</f>
        <v>347351</v>
      </c>
      <c r="M12" s="3">
        <f t="shared" si="4"/>
        <v>318761</v>
      </c>
      <c r="N12" s="3">
        <f t="shared" si="4"/>
        <v>442362</v>
      </c>
      <c r="O12" s="3">
        <f t="shared" si="4"/>
        <v>484997</v>
      </c>
      <c r="P12" s="3">
        <f t="shared" si="4"/>
        <v>500695</v>
      </c>
      <c r="Q12" s="3">
        <f t="shared" si="4"/>
        <v>483167</v>
      </c>
      <c r="S12" s="3"/>
      <c r="T12" s="5"/>
      <c r="U12" s="5"/>
      <c r="V12" s="5"/>
      <c r="Y12" s="4"/>
      <c r="Z12" s="4"/>
      <c r="AA12" s="4"/>
      <c r="AB12" s="4"/>
    </row>
    <row r="13" spans="1:28" ht="12.75" outlineLevel="1">
      <c r="A13" s="148" t="s">
        <v>133</v>
      </c>
      <c r="B13" s="149">
        <v>347</v>
      </c>
      <c r="C13" s="149">
        <v>312</v>
      </c>
      <c r="D13" s="149">
        <v>230</v>
      </c>
      <c r="E13" s="149">
        <v>148</v>
      </c>
      <c r="F13" s="149">
        <v>145</v>
      </c>
      <c r="G13" s="3">
        <v>94</v>
      </c>
      <c r="H13" s="85">
        <v>68</v>
      </c>
      <c r="I13" s="85">
        <v>77</v>
      </c>
      <c r="J13" s="85">
        <v>32</v>
      </c>
      <c r="K13" s="3">
        <f>J13</f>
        <v>32</v>
      </c>
      <c r="L13" s="3">
        <f>K13</f>
        <v>32</v>
      </c>
      <c r="M13" s="3">
        <f aca="true" t="shared" si="5" ref="M13:Q14">L13</f>
        <v>32</v>
      </c>
      <c r="N13" s="3">
        <f t="shared" si="5"/>
        <v>32</v>
      </c>
      <c r="O13" s="3">
        <f t="shared" si="5"/>
        <v>32</v>
      </c>
      <c r="P13" s="3">
        <f t="shared" si="5"/>
        <v>32</v>
      </c>
      <c r="Q13" s="3">
        <f t="shared" si="5"/>
        <v>32</v>
      </c>
      <c r="S13" s="64" t="s">
        <v>575</v>
      </c>
      <c r="T13" s="18" t="s">
        <v>561</v>
      </c>
      <c r="U13" s="64"/>
      <c r="V13" s="64" t="s">
        <v>559</v>
      </c>
      <c r="X13" s="18" t="s">
        <v>562</v>
      </c>
      <c r="Y13" s="4"/>
      <c r="Z13" s="4"/>
      <c r="AA13" s="4"/>
      <c r="AB13" s="4"/>
    </row>
    <row r="14" spans="1:28" ht="25.5" outlineLevel="1">
      <c r="A14" s="148" t="s">
        <v>134</v>
      </c>
      <c r="B14" s="149">
        <v>8</v>
      </c>
      <c r="C14" s="149">
        <v>22</v>
      </c>
      <c r="D14" s="149">
        <v>5</v>
      </c>
      <c r="E14" s="149">
        <f>22+19999</f>
        <v>20021</v>
      </c>
      <c r="F14" s="149">
        <v>43044</v>
      </c>
      <c r="G14" s="3">
        <v>62760</v>
      </c>
      <c r="H14" s="85">
        <v>3212</v>
      </c>
      <c r="I14" s="85">
        <v>10992</v>
      </c>
      <c r="J14" s="85">
        <v>28418</v>
      </c>
      <c r="K14" s="3">
        <f>J14</f>
        <v>28418</v>
      </c>
      <c r="L14" s="3">
        <f>K14</f>
        <v>28418</v>
      </c>
      <c r="M14" s="3">
        <f t="shared" si="5"/>
        <v>28418</v>
      </c>
      <c r="N14" s="3">
        <f t="shared" si="5"/>
        <v>28418</v>
      </c>
      <c r="O14" s="3">
        <f t="shared" si="5"/>
        <v>28418</v>
      </c>
      <c r="P14" s="3">
        <f t="shared" si="5"/>
        <v>28418</v>
      </c>
      <c r="Q14" s="3">
        <f t="shared" si="5"/>
        <v>28418</v>
      </c>
      <c r="S14" s="18" t="s">
        <v>560</v>
      </c>
      <c r="T14" s="3">
        <v>5977</v>
      </c>
      <c r="U14" s="3"/>
      <c r="V14" s="3">
        <v>63000</v>
      </c>
      <c r="X14" s="407">
        <f>+V14-T14</f>
        <v>57023</v>
      </c>
      <c r="Y14" s="4"/>
      <c r="Z14" s="4"/>
      <c r="AA14" s="4"/>
      <c r="AB14" s="4"/>
    </row>
    <row r="15" spans="1:28" ht="12.75">
      <c r="A15" s="150" t="s">
        <v>135</v>
      </c>
      <c r="B15" s="151">
        <f>SUM(B8:B14)</f>
        <v>11707</v>
      </c>
      <c r="C15" s="151">
        <f>SUM(C8:C14)</f>
        <v>39422</v>
      </c>
      <c r="D15" s="151">
        <f>SUM(D8:D14)</f>
        <v>39554</v>
      </c>
      <c r="E15" s="151">
        <f>SUM(E8:E14)</f>
        <v>58583</v>
      </c>
      <c r="F15" s="151">
        <f aca="true" t="shared" si="6" ref="F15:K15">SUM(F8:F14)</f>
        <v>488187</v>
      </c>
      <c r="G15" s="6">
        <f t="shared" si="6"/>
        <v>447352</v>
      </c>
      <c r="H15" s="6">
        <f t="shared" si="6"/>
        <v>391485</v>
      </c>
      <c r="I15" s="6">
        <f t="shared" si="6"/>
        <v>329633</v>
      </c>
      <c r="J15" s="332">
        <v>482325</v>
      </c>
      <c r="K15" s="6">
        <f t="shared" si="6"/>
        <v>469745</v>
      </c>
      <c r="L15" s="6">
        <f aca="true" t="shared" si="7" ref="L15:Q15">SUM(L8:L14)</f>
        <v>447970</v>
      </c>
      <c r="M15" s="6">
        <f t="shared" si="7"/>
        <v>422819</v>
      </c>
      <c r="N15" s="6">
        <f t="shared" si="7"/>
        <v>549859</v>
      </c>
      <c r="O15" s="6">
        <f t="shared" si="7"/>
        <v>593433</v>
      </c>
      <c r="P15" s="6">
        <f t="shared" si="7"/>
        <v>608570</v>
      </c>
      <c r="Q15" s="6">
        <f t="shared" si="7"/>
        <v>590481</v>
      </c>
      <c r="S15" s="64" t="s">
        <v>530</v>
      </c>
      <c r="T15" s="3">
        <f>33999+4973</f>
        <v>38972</v>
      </c>
      <c r="U15" s="3"/>
      <c r="V15" s="3">
        <v>179000</v>
      </c>
      <c r="X15" s="407">
        <f>+V15-T15</f>
        <v>140028</v>
      </c>
      <c r="Y15" s="4"/>
      <c r="Z15" s="4"/>
      <c r="AA15" s="4"/>
      <c r="AB15" s="4"/>
    </row>
    <row r="16" spans="1:28" ht="12.75">
      <c r="A16" s="152" t="s">
        <v>136</v>
      </c>
      <c r="B16" s="149"/>
      <c r="C16" s="149"/>
      <c r="D16" s="362"/>
      <c r="E16" s="149"/>
      <c r="F16" s="366"/>
      <c r="G16" s="3"/>
      <c r="H16" s="85"/>
      <c r="I16" s="85"/>
      <c r="J16" s="630"/>
      <c r="K16" s="3"/>
      <c r="L16" s="3"/>
      <c r="M16" s="3"/>
      <c r="N16" s="3"/>
      <c r="O16" s="3"/>
      <c r="P16" s="3"/>
      <c r="Q16" s="3"/>
      <c r="X16" s="408">
        <f>+X15+X14</f>
        <v>197051</v>
      </c>
      <c r="Y16" s="4"/>
      <c r="Z16" s="4"/>
      <c r="AA16" s="4"/>
      <c r="AB16" s="4"/>
    </row>
    <row r="17" spans="1:28" ht="12.75" outlineLevel="1">
      <c r="A17" s="148" t="s">
        <v>137</v>
      </c>
      <c r="B17" s="149"/>
      <c r="C17" s="149">
        <v>25</v>
      </c>
      <c r="D17" s="149">
        <v>25</v>
      </c>
      <c r="E17" s="149">
        <v>25</v>
      </c>
      <c r="F17" s="149">
        <v>42</v>
      </c>
      <c r="G17" s="3">
        <v>150</v>
      </c>
      <c r="H17" s="85">
        <v>96</v>
      </c>
      <c r="I17" s="85">
        <v>80</v>
      </c>
      <c r="J17" s="85">
        <v>80</v>
      </c>
      <c r="K17" s="3">
        <f aca="true" t="shared" si="8" ref="K17:L20">J17</f>
        <v>80</v>
      </c>
      <c r="L17" s="3">
        <f t="shared" si="8"/>
        <v>80</v>
      </c>
      <c r="M17" s="3">
        <f aca="true" t="shared" si="9" ref="M17:Q20">L17</f>
        <v>80</v>
      </c>
      <c r="N17" s="3">
        <f t="shared" si="9"/>
        <v>80</v>
      </c>
      <c r="O17" s="3">
        <f t="shared" si="9"/>
        <v>80</v>
      </c>
      <c r="P17" s="3">
        <f t="shared" si="9"/>
        <v>80</v>
      </c>
      <c r="Q17" s="3">
        <f t="shared" si="9"/>
        <v>80</v>
      </c>
      <c r="S17" s="18" t="s">
        <v>574</v>
      </c>
      <c r="X17" s="408">
        <v>3641</v>
      </c>
      <c r="Y17" s="4"/>
      <c r="Z17" s="4"/>
      <c r="AA17" s="4"/>
      <c r="AB17" s="4"/>
    </row>
    <row r="18" spans="1:28" ht="12.75" outlineLevel="1">
      <c r="A18" s="148" t="s">
        <v>138</v>
      </c>
      <c r="B18" s="149">
        <v>211</v>
      </c>
      <c r="C18" s="149">
        <v>195</v>
      </c>
      <c r="D18" s="149">
        <v>149</v>
      </c>
      <c r="E18" s="149">
        <v>37</v>
      </c>
      <c r="F18" s="149">
        <v>55</v>
      </c>
      <c r="G18" s="3">
        <v>62</v>
      </c>
      <c r="H18" s="85">
        <v>111</v>
      </c>
      <c r="I18" s="85">
        <v>77</v>
      </c>
      <c r="J18" s="85">
        <v>77</v>
      </c>
      <c r="K18" s="3">
        <f>J18+parichen_potok!E77</f>
        <v>1077</v>
      </c>
      <c r="L18" s="3">
        <f>K18+parichen_potok!F77</f>
        <v>2077</v>
      </c>
      <c r="M18" s="3">
        <f>L18+parichen_potok!G77</f>
        <v>3077</v>
      </c>
      <c r="N18" s="3">
        <f>M18+parichen_potok!H77</f>
        <v>3577</v>
      </c>
      <c r="O18" s="3">
        <f>N18+parichen_potok!I77</f>
        <v>4077</v>
      </c>
      <c r="P18" s="3">
        <f>O18+parichen_potok!J77</f>
        <v>4577</v>
      </c>
      <c r="Q18" s="3">
        <f>P18+parichen_potok!K77</f>
        <v>5077</v>
      </c>
      <c r="Y18" s="4"/>
      <c r="Z18" s="4"/>
      <c r="AA18" s="4"/>
      <c r="AB18" s="4"/>
    </row>
    <row r="19" spans="1:28" ht="12.75" outlineLevel="1">
      <c r="A19" s="153" t="s">
        <v>139</v>
      </c>
      <c r="B19" s="149"/>
      <c r="C19" s="149"/>
      <c r="D19" s="149"/>
      <c r="E19" s="149"/>
      <c r="F19" s="149">
        <v>170</v>
      </c>
      <c r="G19" s="3">
        <v>0</v>
      </c>
      <c r="H19" s="85">
        <v>0</v>
      </c>
      <c r="I19" s="85">
        <v>0</v>
      </c>
      <c r="J19" s="85">
        <v>0</v>
      </c>
      <c r="K19" s="3">
        <f t="shared" si="8"/>
        <v>0</v>
      </c>
      <c r="L19" s="3">
        <f t="shared" si="8"/>
        <v>0</v>
      </c>
      <c r="M19" s="3">
        <f t="shared" si="9"/>
        <v>0</v>
      </c>
      <c r="N19" s="3">
        <f t="shared" si="9"/>
        <v>0</v>
      </c>
      <c r="O19" s="3">
        <f t="shared" si="9"/>
        <v>0</v>
      </c>
      <c r="P19" s="3">
        <f t="shared" si="9"/>
        <v>0</v>
      </c>
      <c r="Q19" s="3">
        <f t="shared" si="9"/>
        <v>0</v>
      </c>
      <c r="Y19" s="4"/>
      <c r="Z19" s="4"/>
      <c r="AA19" s="4"/>
      <c r="AB19" s="4"/>
    </row>
    <row r="20" spans="1:28" ht="12.75" outlineLevel="1">
      <c r="A20" s="153" t="s">
        <v>140</v>
      </c>
      <c r="B20" s="149">
        <v>6</v>
      </c>
      <c r="C20" s="149">
        <v>3</v>
      </c>
      <c r="D20" s="149">
        <v>1</v>
      </c>
      <c r="E20" s="149"/>
      <c r="F20" s="149"/>
      <c r="G20" s="3">
        <v>0</v>
      </c>
      <c r="H20" s="85">
        <v>0</v>
      </c>
      <c r="I20" s="85">
        <v>0</v>
      </c>
      <c r="J20" s="85">
        <v>0</v>
      </c>
      <c r="K20" s="3">
        <f t="shared" si="8"/>
        <v>0</v>
      </c>
      <c r="L20" s="3">
        <f t="shared" si="8"/>
        <v>0</v>
      </c>
      <c r="M20" s="3">
        <f t="shared" si="9"/>
        <v>0</v>
      </c>
      <c r="N20" s="3">
        <f t="shared" si="9"/>
        <v>0</v>
      </c>
      <c r="O20" s="3">
        <f t="shared" si="9"/>
        <v>0</v>
      </c>
      <c r="P20" s="3">
        <f t="shared" si="9"/>
        <v>0</v>
      </c>
      <c r="Q20" s="3">
        <f t="shared" si="9"/>
        <v>0</v>
      </c>
      <c r="Y20" s="4"/>
      <c r="Z20" s="4"/>
      <c r="AA20" s="4"/>
      <c r="AB20" s="4"/>
    </row>
    <row r="21" spans="1:28" ht="12.75">
      <c r="A21" s="154" t="s">
        <v>141</v>
      </c>
      <c r="B21" s="155">
        <f>SUM(B17:B20)</f>
        <v>217</v>
      </c>
      <c r="C21" s="155">
        <f aca="true" t="shared" si="10" ref="C21:I21">SUM(C17:C20)</f>
        <v>223</v>
      </c>
      <c r="D21" s="155">
        <f t="shared" si="10"/>
        <v>175</v>
      </c>
      <c r="E21" s="155">
        <f t="shared" si="10"/>
        <v>62</v>
      </c>
      <c r="F21" s="155">
        <f t="shared" si="10"/>
        <v>267</v>
      </c>
      <c r="G21" s="6">
        <f t="shared" si="10"/>
        <v>212</v>
      </c>
      <c r="H21" s="6">
        <f t="shared" si="10"/>
        <v>207</v>
      </c>
      <c r="I21" s="6">
        <f t="shared" si="10"/>
        <v>157</v>
      </c>
      <c r="J21" s="332">
        <v>157</v>
      </c>
      <c r="K21" s="156">
        <f>SUM(K17:K20)</f>
        <v>1157</v>
      </c>
      <c r="L21" s="156">
        <f aca="true" t="shared" si="11" ref="L21:Q21">SUM(L17:L20)</f>
        <v>2157</v>
      </c>
      <c r="M21" s="156">
        <f t="shared" si="11"/>
        <v>3157</v>
      </c>
      <c r="N21" s="156">
        <f t="shared" si="11"/>
        <v>3657</v>
      </c>
      <c r="O21" s="156">
        <f t="shared" si="11"/>
        <v>4157</v>
      </c>
      <c r="P21" s="156">
        <f t="shared" si="11"/>
        <v>4657</v>
      </c>
      <c r="Q21" s="156">
        <f t="shared" si="11"/>
        <v>5157</v>
      </c>
      <c r="Y21" s="4"/>
      <c r="Z21" s="4"/>
      <c r="AA21" s="4"/>
      <c r="AB21" s="4"/>
    </row>
    <row r="22" spans="1:28" ht="12.75">
      <c r="A22" s="146" t="s">
        <v>142</v>
      </c>
      <c r="B22" s="149"/>
      <c r="C22" s="149"/>
      <c r="D22" s="149"/>
      <c r="E22" s="149"/>
      <c r="F22" s="149"/>
      <c r="G22" s="3"/>
      <c r="H22" s="85"/>
      <c r="I22" s="85"/>
      <c r="J22" s="85"/>
      <c r="K22" s="3"/>
      <c r="L22" s="3"/>
      <c r="M22" s="3"/>
      <c r="N22" s="3"/>
      <c r="O22" s="3"/>
      <c r="P22" s="3"/>
      <c r="Q22" s="3"/>
      <c r="Y22" s="4"/>
      <c r="Z22" s="4"/>
      <c r="AA22" s="4"/>
      <c r="AB22" s="4"/>
    </row>
    <row r="23" spans="1:28" ht="12.75" outlineLevel="1">
      <c r="A23" s="148" t="s">
        <v>143</v>
      </c>
      <c r="B23" s="149"/>
      <c r="C23" s="149"/>
      <c r="D23" s="149">
        <v>26</v>
      </c>
      <c r="E23" s="149">
        <v>26</v>
      </c>
      <c r="F23" s="149">
        <f>F24+F25</f>
        <v>50</v>
      </c>
      <c r="G23" s="3">
        <v>50</v>
      </c>
      <c r="H23" s="85">
        <v>50</v>
      </c>
      <c r="I23" s="85">
        <v>50</v>
      </c>
      <c r="J23" s="631">
        <v>50</v>
      </c>
      <c r="K23" s="3">
        <f aca="true" t="shared" si="12" ref="K23:L26">J23</f>
        <v>50</v>
      </c>
      <c r="L23" s="3">
        <f t="shared" si="12"/>
        <v>50</v>
      </c>
      <c r="M23" s="3">
        <f aca="true" t="shared" si="13" ref="M23:Q26">L23</f>
        <v>50</v>
      </c>
      <c r="N23" s="3">
        <f t="shared" si="13"/>
        <v>50</v>
      </c>
      <c r="O23" s="3">
        <f t="shared" si="13"/>
        <v>50</v>
      </c>
      <c r="P23" s="3">
        <f t="shared" si="13"/>
        <v>50</v>
      </c>
      <c r="Q23" s="3">
        <f t="shared" si="13"/>
        <v>50</v>
      </c>
      <c r="Y23" s="4"/>
      <c r="Z23" s="4"/>
      <c r="AA23" s="4"/>
      <c r="AB23" s="4"/>
    </row>
    <row r="24" spans="1:28" ht="25.5" outlineLevel="1">
      <c r="A24" s="148" t="s">
        <v>144</v>
      </c>
      <c r="B24" s="149"/>
      <c r="C24" s="149"/>
      <c r="D24" s="149">
        <v>26</v>
      </c>
      <c r="E24" s="149">
        <v>26</v>
      </c>
      <c r="F24" s="149">
        <v>26</v>
      </c>
      <c r="G24" s="3">
        <v>26</v>
      </c>
      <c r="H24" s="85">
        <v>26</v>
      </c>
      <c r="I24" s="85">
        <v>26</v>
      </c>
      <c r="J24" s="85">
        <v>26</v>
      </c>
      <c r="K24" s="3">
        <f t="shared" si="12"/>
        <v>26</v>
      </c>
      <c r="L24" s="3">
        <f t="shared" si="12"/>
        <v>26</v>
      </c>
      <c r="M24" s="3">
        <f t="shared" si="13"/>
        <v>26</v>
      </c>
      <c r="N24" s="3">
        <f t="shared" si="13"/>
        <v>26</v>
      </c>
      <c r="O24" s="3">
        <f t="shared" si="13"/>
        <v>26</v>
      </c>
      <c r="P24" s="3">
        <f t="shared" si="13"/>
        <v>26</v>
      </c>
      <c r="Q24" s="3">
        <f t="shared" si="13"/>
        <v>26</v>
      </c>
      <c r="Y24" s="4"/>
      <c r="Z24" s="4"/>
      <c r="AA24" s="4"/>
      <c r="AB24" s="4"/>
    </row>
    <row r="25" spans="1:28" ht="12.75" outlineLevel="1">
      <c r="A25" s="148" t="s">
        <v>145</v>
      </c>
      <c r="B25" s="149"/>
      <c r="C25" s="149"/>
      <c r="D25" s="149"/>
      <c r="E25" s="149"/>
      <c r="F25" s="149">
        <v>24</v>
      </c>
      <c r="G25" s="3">
        <v>24</v>
      </c>
      <c r="H25" s="85">
        <v>24</v>
      </c>
      <c r="I25" s="85">
        <v>24</v>
      </c>
      <c r="J25" s="631">
        <v>24</v>
      </c>
      <c r="K25" s="3">
        <f t="shared" si="12"/>
        <v>24</v>
      </c>
      <c r="L25" s="3">
        <f t="shared" si="12"/>
        <v>24</v>
      </c>
      <c r="M25" s="3">
        <f t="shared" si="13"/>
        <v>24</v>
      </c>
      <c r="N25" s="3">
        <f t="shared" si="13"/>
        <v>24</v>
      </c>
      <c r="O25" s="3">
        <f t="shared" si="13"/>
        <v>24</v>
      </c>
      <c r="P25" s="3">
        <f t="shared" si="13"/>
        <v>24</v>
      </c>
      <c r="Q25" s="3">
        <f t="shared" si="13"/>
        <v>24</v>
      </c>
      <c r="Y25" s="4"/>
      <c r="Z25" s="4"/>
      <c r="AA25" s="4"/>
      <c r="AB25" s="4"/>
    </row>
    <row r="26" spans="1:28" ht="12.75" outlineLevel="1">
      <c r="A26" s="148" t="s">
        <v>146</v>
      </c>
      <c r="B26" s="149"/>
      <c r="C26" s="149"/>
      <c r="D26" s="149"/>
      <c r="E26" s="149"/>
      <c r="F26" s="149">
        <v>24</v>
      </c>
      <c r="G26" s="3">
        <v>24</v>
      </c>
      <c r="H26" s="85">
        <v>24</v>
      </c>
      <c r="I26" s="85">
        <v>24</v>
      </c>
      <c r="J26" s="85">
        <v>24</v>
      </c>
      <c r="K26" s="3">
        <f t="shared" si="12"/>
        <v>24</v>
      </c>
      <c r="L26" s="3">
        <f t="shared" si="12"/>
        <v>24</v>
      </c>
      <c r="M26" s="3">
        <f t="shared" si="13"/>
        <v>24</v>
      </c>
      <c r="N26" s="3">
        <f t="shared" si="13"/>
        <v>24</v>
      </c>
      <c r="O26" s="3">
        <f t="shared" si="13"/>
        <v>24</v>
      </c>
      <c r="P26" s="3">
        <f t="shared" si="13"/>
        <v>24</v>
      </c>
      <c r="Q26" s="3">
        <f t="shared" si="13"/>
        <v>24</v>
      </c>
      <c r="S26" s="3"/>
      <c r="T26" s="5"/>
      <c r="U26" s="5"/>
      <c r="V26" s="5"/>
      <c r="W26" s="5"/>
      <c r="X26" s="5"/>
      <c r="Y26" s="5"/>
      <c r="Z26" s="5"/>
      <c r="AA26" s="5"/>
      <c r="AB26" s="4"/>
    </row>
    <row r="27" spans="1:28" ht="12.75" outlineLevel="1">
      <c r="A27" s="148" t="s">
        <v>147</v>
      </c>
      <c r="B27" s="149"/>
      <c r="C27" s="149"/>
      <c r="D27" s="149"/>
      <c r="E27" s="149"/>
      <c r="F27" s="149"/>
      <c r="G27" s="3"/>
      <c r="H27" s="3"/>
      <c r="I27" s="3"/>
      <c r="J27" s="85"/>
      <c r="K27" s="3"/>
      <c r="L27" s="3"/>
      <c r="M27" s="3"/>
      <c r="N27" s="3"/>
      <c r="O27" s="3"/>
      <c r="P27" s="3"/>
      <c r="Q27" s="3"/>
      <c r="S27" s="3"/>
      <c r="T27" s="5"/>
      <c r="U27" s="5"/>
      <c r="V27" s="5"/>
      <c r="W27" s="5"/>
      <c r="X27" s="5"/>
      <c r="Y27" s="5"/>
      <c r="Z27" s="5"/>
      <c r="AA27" s="5"/>
      <c r="AB27" s="4"/>
    </row>
    <row r="28" spans="1:28" ht="12.75" outlineLevel="1">
      <c r="A28" s="148" t="s">
        <v>148</v>
      </c>
      <c r="B28" s="149"/>
      <c r="C28" s="149"/>
      <c r="D28" s="149"/>
      <c r="E28" s="149"/>
      <c r="F28" s="149"/>
      <c r="G28" s="3"/>
      <c r="H28" s="3"/>
      <c r="I28" s="3"/>
      <c r="J28" s="85"/>
      <c r="K28" s="3"/>
      <c r="L28" s="3"/>
      <c r="M28" s="3"/>
      <c r="N28" s="3"/>
      <c r="O28" s="3"/>
      <c r="P28" s="3"/>
      <c r="Q28" s="3"/>
      <c r="S28" s="3"/>
      <c r="T28" s="5"/>
      <c r="U28" s="5"/>
      <c r="V28" s="5"/>
      <c r="W28" s="5"/>
      <c r="X28" s="5"/>
      <c r="Y28" s="5"/>
      <c r="Z28" s="5"/>
      <c r="AA28" s="5"/>
      <c r="AB28" s="4"/>
    </row>
    <row r="29" spans="1:28" ht="12.75" outlineLevel="1">
      <c r="A29" s="148" t="s">
        <v>149</v>
      </c>
      <c r="B29" s="149"/>
      <c r="C29" s="149"/>
      <c r="D29" s="149"/>
      <c r="E29" s="149"/>
      <c r="F29" s="149"/>
      <c r="G29" s="3"/>
      <c r="H29" s="3"/>
      <c r="I29" s="3"/>
      <c r="J29" s="85"/>
      <c r="K29" s="3"/>
      <c r="L29" s="3"/>
      <c r="M29" s="3"/>
      <c r="N29" s="3"/>
      <c r="O29" s="3"/>
      <c r="P29" s="3"/>
      <c r="Q29" s="3"/>
      <c r="S29" s="3"/>
      <c r="T29" s="5"/>
      <c r="U29" s="5"/>
      <c r="V29" s="5"/>
      <c r="W29" s="5"/>
      <c r="X29" s="5"/>
      <c r="Y29" s="5"/>
      <c r="Z29" s="5"/>
      <c r="AA29" s="5"/>
      <c r="AB29" s="4"/>
    </row>
    <row r="30" spans="1:28" ht="12.75" outlineLevel="1">
      <c r="A30" s="148" t="s">
        <v>150</v>
      </c>
      <c r="B30" s="149"/>
      <c r="C30" s="149"/>
      <c r="D30" s="149"/>
      <c r="E30" s="149">
        <f>SUM(E31:E33)</f>
        <v>0</v>
      </c>
      <c r="F30" s="149"/>
      <c r="G30" s="3">
        <f aca="true" t="shared" si="14" ref="G30:L30">SUM(G31:G33)</f>
        <v>0</v>
      </c>
      <c r="H30" s="3">
        <f t="shared" si="14"/>
        <v>0</v>
      </c>
      <c r="I30" s="3">
        <f t="shared" si="14"/>
        <v>13963</v>
      </c>
      <c r="J30" s="85">
        <v>12523</v>
      </c>
      <c r="K30" s="3">
        <f t="shared" si="14"/>
        <v>11083</v>
      </c>
      <c r="L30" s="3">
        <f t="shared" si="14"/>
        <v>9643</v>
      </c>
      <c r="M30" s="3">
        <f>SUM(M31:M33)</f>
        <v>8203</v>
      </c>
      <c r="N30" s="3">
        <f>SUM(N31:N33)</f>
        <v>6763</v>
      </c>
      <c r="O30" s="3">
        <f>SUM(O31:O33)</f>
        <v>5323</v>
      </c>
      <c r="P30" s="3">
        <f>SUM(P31:P33)</f>
        <v>3883</v>
      </c>
      <c r="Q30" s="3">
        <f>SUM(Q31:Q33)</f>
        <v>2443</v>
      </c>
      <c r="S30" s="3"/>
      <c r="T30" s="5"/>
      <c r="U30" s="5"/>
      <c r="V30" s="5"/>
      <c r="W30" s="5"/>
      <c r="X30" s="5"/>
      <c r="Y30" s="5"/>
      <c r="Z30" s="5"/>
      <c r="AA30" s="5"/>
      <c r="AB30" s="4"/>
    </row>
    <row r="31" spans="1:28" ht="12.75" outlineLevel="1">
      <c r="A31" s="148" t="s">
        <v>151</v>
      </c>
      <c r="B31" s="3"/>
      <c r="C31" s="3"/>
      <c r="D31" s="3"/>
      <c r="E31" s="3"/>
      <c r="F31" s="3"/>
      <c r="G31" s="3"/>
      <c r="H31" s="3"/>
      <c r="I31" s="3">
        <f>16363-960-1440</f>
        <v>13963</v>
      </c>
      <c r="J31" s="85">
        <v>12523</v>
      </c>
      <c r="K31" s="3">
        <f aca="true" t="shared" si="15" ref="K31:Q31">J31-1440</f>
        <v>11083</v>
      </c>
      <c r="L31" s="3">
        <f t="shared" si="15"/>
        <v>9643</v>
      </c>
      <c r="M31" s="3">
        <f t="shared" si="15"/>
        <v>8203</v>
      </c>
      <c r="N31" s="3">
        <f t="shared" si="15"/>
        <v>6763</v>
      </c>
      <c r="O31" s="3">
        <f t="shared" si="15"/>
        <v>5323</v>
      </c>
      <c r="P31" s="3">
        <f t="shared" si="15"/>
        <v>3883</v>
      </c>
      <c r="Q31" s="3">
        <f t="shared" si="15"/>
        <v>2443</v>
      </c>
      <c r="S31" s="85"/>
      <c r="T31" s="5"/>
      <c r="U31" s="5"/>
      <c r="V31" s="5"/>
      <c r="W31" s="5"/>
      <c r="X31" s="5"/>
      <c r="Y31" s="5"/>
      <c r="Z31" s="5"/>
      <c r="AA31" s="5"/>
      <c r="AB31" s="4"/>
    </row>
    <row r="32" spans="1:28" ht="12.75" outlineLevel="1">
      <c r="A32" s="148" t="s">
        <v>152</v>
      </c>
      <c r="B32" s="149"/>
      <c r="C32" s="149"/>
      <c r="D32" s="149"/>
      <c r="E32" s="149"/>
      <c r="F32" s="149"/>
      <c r="G32" s="3"/>
      <c r="H32" s="3"/>
      <c r="I32" s="3"/>
      <c r="J32" s="85"/>
      <c r="K32" s="3"/>
      <c r="L32" s="3"/>
      <c r="M32" s="3"/>
      <c r="N32" s="3"/>
      <c r="O32" s="3"/>
      <c r="P32" s="3"/>
      <c r="Q32" s="3"/>
      <c r="Y32" s="4"/>
      <c r="Z32" s="4"/>
      <c r="AA32" s="4"/>
      <c r="AB32" s="4"/>
    </row>
    <row r="33" spans="1:28" ht="12.75" outlineLevel="1">
      <c r="A33" s="148" t="s">
        <v>153</v>
      </c>
      <c r="B33" s="149"/>
      <c r="C33" s="149"/>
      <c r="D33" s="149"/>
      <c r="E33" s="157"/>
      <c r="F33" s="149"/>
      <c r="G33" s="3"/>
      <c r="H33" s="3"/>
      <c r="I33" s="3"/>
      <c r="J33" s="85"/>
      <c r="K33" s="3"/>
      <c r="L33" s="3"/>
      <c r="M33" s="3"/>
      <c r="N33" s="3"/>
      <c r="O33" s="3"/>
      <c r="P33" s="3"/>
      <c r="Q33" s="3"/>
      <c r="Y33" s="4"/>
      <c r="Z33" s="4"/>
      <c r="AA33" s="4"/>
      <c r="AB33" s="4"/>
    </row>
    <row r="34" spans="1:28" ht="12.75">
      <c r="A34" s="150" t="s">
        <v>154</v>
      </c>
      <c r="B34" s="155">
        <v>0</v>
      </c>
      <c r="C34" s="155">
        <v>0</v>
      </c>
      <c r="D34" s="155">
        <v>26</v>
      </c>
      <c r="E34" s="155">
        <f>E23+E28+E29+E30</f>
        <v>26</v>
      </c>
      <c r="F34" s="155">
        <f aca="true" t="shared" si="16" ref="F34:L34">F23+F28+F29+F30</f>
        <v>50</v>
      </c>
      <c r="G34" s="156">
        <f>SUM(G23+G28+G29+G30)</f>
        <v>50</v>
      </c>
      <c r="H34" s="156">
        <f>SUM(H23+H28+H29+H30)</f>
        <v>50</v>
      </c>
      <c r="I34" s="156">
        <f>SUM(I23+I28+I29+I30)</f>
        <v>14013</v>
      </c>
      <c r="J34" s="331">
        <v>12573</v>
      </c>
      <c r="K34" s="156">
        <f t="shared" si="16"/>
        <v>11133</v>
      </c>
      <c r="L34" s="156">
        <f t="shared" si="16"/>
        <v>9693</v>
      </c>
      <c r="M34" s="156">
        <f>M23+M28+M29+M30</f>
        <v>8253</v>
      </c>
      <c r="N34" s="156">
        <f>N23+N28+N29+N30</f>
        <v>6813</v>
      </c>
      <c r="O34" s="156">
        <f>O23+O28+O29+O30</f>
        <v>5373</v>
      </c>
      <c r="P34" s="156">
        <f>P23+P28+P29+P30</f>
        <v>3933</v>
      </c>
      <c r="Q34" s="156">
        <f>Q23+Q28+Q29+Q30</f>
        <v>2493</v>
      </c>
      <c r="Y34" s="4"/>
      <c r="Z34" s="4"/>
      <c r="AA34" s="4"/>
      <c r="AB34" s="4"/>
    </row>
    <row r="35" spans="1:28" ht="13.5">
      <c r="A35" s="146" t="s">
        <v>155</v>
      </c>
      <c r="B35" s="149"/>
      <c r="C35" s="149"/>
      <c r="D35" s="149"/>
      <c r="E35" s="149"/>
      <c r="F35" s="149"/>
      <c r="G35" s="3"/>
      <c r="H35" s="3"/>
      <c r="I35" s="3"/>
      <c r="J35" s="85"/>
      <c r="K35" s="3"/>
      <c r="L35" s="3"/>
      <c r="M35" s="3"/>
      <c r="N35" s="3"/>
      <c r="O35" s="3"/>
      <c r="P35" s="3"/>
      <c r="Q35" s="3"/>
      <c r="Y35" s="4"/>
      <c r="Z35" s="4"/>
      <c r="AA35" s="4"/>
      <c r="AB35" s="4"/>
    </row>
    <row r="36" spans="1:28" ht="13.5" outlineLevel="1">
      <c r="A36" s="148" t="s">
        <v>156</v>
      </c>
      <c r="B36" s="149"/>
      <c r="C36" s="149"/>
      <c r="D36" s="149"/>
      <c r="E36" s="149"/>
      <c r="F36" s="149"/>
      <c r="G36" s="3"/>
      <c r="H36" s="3"/>
      <c r="I36" s="3"/>
      <c r="J36" s="85"/>
      <c r="K36" s="3"/>
      <c r="L36" s="3"/>
      <c r="M36" s="3"/>
      <c r="N36" s="3"/>
      <c r="O36" s="3"/>
      <c r="P36" s="3"/>
      <c r="Q36" s="3"/>
      <c r="Y36" s="4"/>
      <c r="Z36" s="4"/>
      <c r="AA36" s="4"/>
      <c r="AB36" s="4"/>
    </row>
    <row r="37" spans="1:28" ht="13.5" outlineLevel="1">
      <c r="A37" s="148" t="s">
        <v>157</v>
      </c>
      <c r="B37" s="149"/>
      <c r="C37" s="149"/>
      <c r="D37" s="149"/>
      <c r="E37" s="149"/>
      <c r="F37" s="149"/>
      <c r="G37" s="3"/>
      <c r="H37" s="3"/>
      <c r="I37" s="3"/>
      <c r="J37" s="85"/>
      <c r="K37" s="3"/>
      <c r="L37" s="3"/>
      <c r="M37" s="3"/>
      <c r="N37" s="3"/>
      <c r="O37" s="3"/>
      <c r="P37" s="3"/>
      <c r="Q37" s="3"/>
      <c r="Y37" s="4"/>
      <c r="Z37" s="4"/>
      <c r="AA37" s="4"/>
      <c r="AB37" s="4"/>
    </row>
    <row r="38" spans="1:28" ht="13.5">
      <c r="A38" s="150" t="s">
        <v>158</v>
      </c>
      <c r="B38" s="149">
        <v>0</v>
      </c>
      <c r="C38" s="149">
        <v>0</v>
      </c>
      <c r="D38" s="157"/>
      <c r="E38" s="157"/>
      <c r="F38" s="149">
        <v>0</v>
      </c>
      <c r="G38" s="3">
        <v>0</v>
      </c>
      <c r="H38" s="3">
        <v>0</v>
      </c>
      <c r="I38" s="3">
        <v>0</v>
      </c>
      <c r="J38" s="85">
        <v>0</v>
      </c>
      <c r="K38" s="3">
        <f aca="true" t="shared" si="17" ref="K38:Q38">SUM(K36+K37)</f>
        <v>0</v>
      </c>
      <c r="L38" s="3">
        <f t="shared" si="17"/>
        <v>0</v>
      </c>
      <c r="M38" s="3">
        <f t="shared" si="17"/>
        <v>0</v>
      </c>
      <c r="N38" s="3">
        <f t="shared" si="17"/>
        <v>0</v>
      </c>
      <c r="O38" s="3">
        <f t="shared" si="17"/>
        <v>0</v>
      </c>
      <c r="P38" s="3">
        <f t="shared" si="17"/>
        <v>0</v>
      </c>
      <c r="Q38" s="3">
        <f t="shared" si="17"/>
        <v>0</v>
      </c>
      <c r="Y38" s="4"/>
      <c r="Z38" s="4"/>
      <c r="AA38" s="4"/>
      <c r="AB38" s="4"/>
    </row>
    <row r="39" spans="1:28" ht="13.5">
      <c r="A39" s="152" t="s">
        <v>159</v>
      </c>
      <c r="B39" s="149"/>
      <c r="C39" s="149"/>
      <c r="D39" s="149"/>
      <c r="E39" s="149"/>
      <c r="F39" s="149"/>
      <c r="G39" s="3"/>
      <c r="H39" s="3"/>
      <c r="I39" s="3"/>
      <c r="J39" s="85"/>
      <c r="K39" s="3"/>
      <c r="L39" s="3"/>
      <c r="M39" s="3"/>
      <c r="N39" s="3"/>
      <c r="O39" s="3"/>
      <c r="P39" s="3"/>
      <c r="Q39" s="3"/>
      <c r="Y39" s="4"/>
      <c r="Z39" s="4"/>
      <c r="AA39" s="4"/>
      <c r="AB39" s="4"/>
    </row>
    <row r="40" spans="1:28" ht="13.5">
      <c r="A40" s="150" t="s">
        <v>160</v>
      </c>
      <c r="B40" s="149">
        <v>0</v>
      </c>
      <c r="C40" s="149">
        <v>0</v>
      </c>
      <c r="D40" s="149">
        <v>0</v>
      </c>
      <c r="E40" s="149">
        <v>0</v>
      </c>
      <c r="F40" s="149">
        <v>0</v>
      </c>
      <c r="G40" s="3">
        <v>0</v>
      </c>
      <c r="H40" s="3">
        <v>0</v>
      </c>
      <c r="I40" s="3">
        <v>0</v>
      </c>
      <c r="J40" s="85">
        <v>0</v>
      </c>
      <c r="K40" s="3">
        <f aca="true" t="shared" si="18" ref="K40:Q40">K39</f>
        <v>0</v>
      </c>
      <c r="L40" s="3">
        <f t="shared" si="18"/>
        <v>0</v>
      </c>
      <c r="M40" s="3">
        <f t="shared" si="18"/>
        <v>0</v>
      </c>
      <c r="N40" s="3">
        <f t="shared" si="18"/>
        <v>0</v>
      </c>
      <c r="O40" s="3">
        <f t="shared" si="18"/>
        <v>0</v>
      </c>
      <c r="P40" s="3">
        <f t="shared" si="18"/>
        <v>0</v>
      </c>
      <c r="Q40" s="3">
        <f t="shared" si="18"/>
        <v>0</v>
      </c>
      <c r="Y40" s="4"/>
      <c r="Z40" s="4"/>
      <c r="AA40" s="4"/>
      <c r="AB40" s="4"/>
    </row>
    <row r="41" spans="1:28" ht="13.5">
      <c r="A41" s="158" t="s">
        <v>161</v>
      </c>
      <c r="B41" s="151">
        <f>B15+B21+B34+B38+B40</f>
        <v>11924</v>
      </c>
      <c r="C41" s="151">
        <f aca="true" t="shared" si="19" ref="C41:L41">C15+C21+C34+C38+C40</f>
        <v>39645</v>
      </c>
      <c r="D41" s="151">
        <f t="shared" si="19"/>
        <v>39755</v>
      </c>
      <c r="E41" s="151">
        <f t="shared" si="19"/>
        <v>58671</v>
      </c>
      <c r="F41" s="151">
        <f t="shared" si="19"/>
        <v>488504</v>
      </c>
      <c r="G41" s="6">
        <f>+G34+G21+G15+G38+G40</f>
        <v>447614</v>
      </c>
      <c r="H41" s="6">
        <f>+H34+H21+H15+H38+H40</f>
        <v>391742</v>
      </c>
      <c r="I41" s="6">
        <f>+I34+I21+I15+I38+I40</f>
        <v>343803</v>
      </c>
      <c r="J41" s="332">
        <v>495055</v>
      </c>
      <c r="K41" s="6">
        <f t="shared" si="19"/>
        <v>482035</v>
      </c>
      <c r="L41" s="6">
        <f t="shared" si="19"/>
        <v>459820</v>
      </c>
      <c r="M41" s="6">
        <f>M15+M21+M34+M38+M40</f>
        <v>434229</v>
      </c>
      <c r="N41" s="6">
        <f>N15+N21+N34+N38+N40</f>
        <v>560329</v>
      </c>
      <c r="O41" s="6">
        <f>O15+O21+O34+O38+O40</f>
        <v>602963</v>
      </c>
      <c r="P41" s="6">
        <f>P15+P21+P34+P38+P40</f>
        <v>617160</v>
      </c>
      <c r="Q41" s="6">
        <f>Q15+Q21+Q34+Q38+Q40</f>
        <v>598131</v>
      </c>
      <c r="Y41" s="4"/>
      <c r="Z41" s="4"/>
      <c r="AA41" s="4"/>
      <c r="AB41" s="4"/>
    </row>
    <row r="42" spans="1:28" ht="13.5">
      <c r="A42" s="146" t="s">
        <v>162</v>
      </c>
      <c r="B42" s="149"/>
      <c r="C42" s="149"/>
      <c r="D42" s="149"/>
      <c r="E42" s="149"/>
      <c r="F42" s="149"/>
      <c r="G42" s="3"/>
      <c r="H42" s="3"/>
      <c r="I42" s="3"/>
      <c r="J42" s="630"/>
      <c r="K42" s="3"/>
      <c r="L42" s="3"/>
      <c r="M42" s="3"/>
      <c r="N42" s="3"/>
      <c r="O42" s="3"/>
      <c r="P42" s="3"/>
      <c r="Q42" s="3"/>
      <c r="Y42" s="4"/>
      <c r="Z42" s="4"/>
      <c r="AA42" s="4"/>
      <c r="AB42" s="4"/>
    </row>
    <row r="43" spans="1:28" ht="13.5">
      <c r="A43" s="146" t="s">
        <v>163</v>
      </c>
      <c r="B43" s="149"/>
      <c r="C43" s="149"/>
      <c r="D43" s="149"/>
      <c r="E43" s="149"/>
      <c r="F43" s="149"/>
      <c r="G43" s="3"/>
      <c r="H43" s="3"/>
      <c r="I43" s="3"/>
      <c r="J43" s="630"/>
      <c r="K43" s="3"/>
      <c r="L43" s="3"/>
      <c r="M43" s="3"/>
      <c r="N43" s="3"/>
      <c r="O43" s="3"/>
      <c r="P43" s="3"/>
      <c r="Q43" s="3"/>
      <c r="Y43" s="4"/>
      <c r="Z43" s="4"/>
      <c r="AA43" s="4"/>
      <c r="AB43" s="4"/>
    </row>
    <row r="44" spans="1:28" ht="13.5" outlineLevel="1">
      <c r="A44" s="148" t="s">
        <v>164</v>
      </c>
      <c r="B44" s="149">
        <v>4607</v>
      </c>
      <c r="C44" s="149">
        <v>4954</v>
      </c>
      <c r="D44" s="149">
        <v>4717</v>
      </c>
      <c r="E44" s="149">
        <v>4688</v>
      </c>
      <c r="F44" s="149">
        <v>15438</v>
      </c>
      <c r="G44" s="3">
        <v>18238</v>
      </c>
      <c r="H44" s="85">
        <v>20624</v>
      </c>
      <c r="I44" s="85">
        <v>21285</v>
      </c>
      <c r="J44" s="85">
        <v>21285</v>
      </c>
      <c r="K44" s="85">
        <f>+J44</f>
        <v>21285</v>
      </c>
      <c r="L44" s="85">
        <f>+K44</f>
        <v>21285</v>
      </c>
      <c r="M44" s="85">
        <f>+L44</f>
        <v>21285</v>
      </c>
      <c r="N44" s="85">
        <f>+M44+2500</f>
        <v>23785</v>
      </c>
      <c r="O44" s="85">
        <f>+N44+2000</f>
        <v>25785</v>
      </c>
      <c r="P44" s="85">
        <f>+O44+800</f>
        <v>26585</v>
      </c>
      <c r="Q44" s="85">
        <f>+P44+800</f>
        <v>27385</v>
      </c>
      <c r="Y44" s="4"/>
      <c r="Z44" s="4"/>
      <c r="AA44" s="4"/>
      <c r="AB44" s="4"/>
    </row>
    <row r="45" spans="1:28" ht="13.5" outlineLevel="1">
      <c r="A45" s="153" t="s">
        <v>165</v>
      </c>
      <c r="B45" s="149"/>
      <c r="C45" s="149"/>
      <c r="D45" s="149"/>
      <c r="E45" s="149"/>
      <c r="F45" s="149"/>
      <c r="G45" s="3"/>
      <c r="H45" s="85">
        <v>0</v>
      </c>
      <c r="I45" s="85">
        <v>0</v>
      </c>
      <c r="J45" s="85">
        <v>0</v>
      </c>
      <c r="K45" s="3">
        <f aca="true" t="shared" si="20" ref="K45:L48">J45</f>
        <v>0</v>
      </c>
      <c r="L45" s="3">
        <f t="shared" si="20"/>
        <v>0</v>
      </c>
      <c r="M45" s="3">
        <f aca="true" t="shared" si="21" ref="M45:Q48">L45</f>
        <v>0</v>
      </c>
      <c r="N45" s="3">
        <f t="shared" si="21"/>
        <v>0</v>
      </c>
      <c r="O45" s="3">
        <f t="shared" si="21"/>
        <v>0</v>
      </c>
      <c r="P45" s="3">
        <f t="shared" si="21"/>
        <v>0</v>
      </c>
      <c r="Q45" s="3">
        <f t="shared" si="21"/>
        <v>0</v>
      </c>
      <c r="Y45" s="4"/>
      <c r="Z45" s="4"/>
      <c r="AA45" s="4"/>
      <c r="AB45" s="4"/>
    </row>
    <row r="46" spans="1:28" ht="13.5" outlineLevel="1">
      <c r="A46" s="153" t="s">
        <v>166</v>
      </c>
      <c r="B46" s="149">
        <v>2</v>
      </c>
      <c r="C46" s="149">
        <v>4</v>
      </c>
      <c r="D46" s="149">
        <v>3</v>
      </c>
      <c r="E46" s="149">
        <v>2</v>
      </c>
      <c r="F46" s="149">
        <v>4</v>
      </c>
      <c r="G46" s="3">
        <v>3</v>
      </c>
      <c r="H46" s="85">
        <v>0</v>
      </c>
      <c r="I46" s="85">
        <v>0</v>
      </c>
      <c r="J46" s="85">
        <v>0</v>
      </c>
      <c r="K46" s="3">
        <f t="shared" si="20"/>
        <v>0</v>
      </c>
      <c r="L46" s="3">
        <f t="shared" si="20"/>
        <v>0</v>
      </c>
      <c r="M46" s="3">
        <f t="shared" si="21"/>
        <v>0</v>
      </c>
      <c r="N46" s="3">
        <f t="shared" si="21"/>
        <v>0</v>
      </c>
      <c r="O46" s="3">
        <f t="shared" si="21"/>
        <v>0</v>
      </c>
      <c r="P46" s="3">
        <f t="shared" si="21"/>
        <v>0</v>
      </c>
      <c r="Q46" s="3">
        <f t="shared" si="21"/>
        <v>0</v>
      </c>
      <c r="Y46" s="4"/>
      <c r="Z46" s="4"/>
      <c r="AA46" s="4"/>
      <c r="AB46" s="4"/>
    </row>
    <row r="47" spans="1:28" ht="13.5" outlineLevel="1">
      <c r="A47" s="148" t="s">
        <v>167</v>
      </c>
      <c r="B47" s="149">
        <v>20</v>
      </c>
      <c r="C47" s="149">
        <v>6</v>
      </c>
      <c r="D47" s="149">
        <v>19</v>
      </c>
      <c r="E47" s="149">
        <v>5</v>
      </c>
      <c r="F47" s="149">
        <v>852</v>
      </c>
      <c r="G47" s="3">
        <v>631</v>
      </c>
      <c r="H47" s="85">
        <v>684</v>
      </c>
      <c r="I47" s="85">
        <v>597</v>
      </c>
      <c r="J47" s="85">
        <v>597</v>
      </c>
      <c r="K47" s="3">
        <f t="shared" si="20"/>
        <v>597</v>
      </c>
      <c r="L47" s="3">
        <f t="shared" si="20"/>
        <v>597</v>
      </c>
      <c r="M47" s="3">
        <f t="shared" si="21"/>
        <v>597</v>
      </c>
      <c r="N47" s="3">
        <f t="shared" si="21"/>
        <v>597</v>
      </c>
      <c r="O47" s="3">
        <f t="shared" si="21"/>
        <v>597</v>
      </c>
      <c r="P47" s="3">
        <f t="shared" si="21"/>
        <v>597</v>
      </c>
      <c r="Q47" s="3">
        <f t="shared" si="21"/>
        <v>597</v>
      </c>
      <c r="Y47" s="4"/>
      <c r="Z47" s="4"/>
      <c r="AA47" s="4"/>
      <c r="AB47" s="4"/>
    </row>
    <row r="48" spans="1:28" ht="13.5" outlineLevel="1">
      <c r="A48" s="148" t="s">
        <v>168</v>
      </c>
      <c r="B48" s="149"/>
      <c r="C48" s="149"/>
      <c r="D48" s="149"/>
      <c r="E48" s="149"/>
      <c r="F48" s="149"/>
      <c r="G48" s="3"/>
      <c r="H48" s="85"/>
      <c r="I48" s="85"/>
      <c r="J48" s="85"/>
      <c r="K48" s="3">
        <f t="shared" si="20"/>
        <v>0</v>
      </c>
      <c r="L48" s="3">
        <f t="shared" si="20"/>
        <v>0</v>
      </c>
      <c r="M48" s="3">
        <f t="shared" si="21"/>
        <v>0</v>
      </c>
      <c r="N48" s="3">
        <f t="shared" si="21"/>
        <v>0</v>
      </c>
      <c r="O48" s="3">
        <f t="shared" si="21"/>
        <v>0</v>
      </c>
      <c r="P48" s="3">
        <f t="shared" si="21"/>
        <v>0</v>
      </c>
      <c r="Q48" s="3">
        <f t="shared" si="21"/>
        <v>0</v>
      </c>
      <c r="Y48" s="4"/>
      <c r="Z48" s="4"/>
      <c r="AA48" s="4"/>
      <c r="AB48" s="4"/>
    </row>
    <row r="49" spans="1:28" ht="13.5">
      <c r="A49" s="154" t="s">
        <v>169</v>
      </c>
      <c r="B49" s="155">
        <f>SUM(B44:B48)</f>
        <v>4629</v>
      </c>
      <c r="C49" s="155">
        <f aca="true" t="shared" si="22" ref="C49:L49">SUM(C44:C48)</f>
        <v>4964</v>
      </c>
      <c r="D49" s="155">
        <f t="shared" si="22"/>
        <v>4739</v>
      </c>
      <c r="E49" s="155">
        <f t="shared" si="22"/>
        <v>4695</v>
      </c>
      <c r="F49" s="155">
        <f t="shared" si="22"/>
        <v>16294</v>
      </c>
      <c r="G49" s="156">
        <f>SUM(G44:G48)</f>
        <v>18872</v>
      </c>
      <c r="H49" s="156">
        <f>SUM(H44:H48)</f>
        <v>21308</v>
      </c>
      <c r="I49" s="156">
        <f>SUM(I44:I48)</f>
        <v>21882</v>
      </c>
      <c r="J49" s="331">
        <v>21882</v>
      </c>
      <c r="K49" s="156">
        <f t="shared" si="22"/>
        <v>21882</v>
      </c>
      <c r="L49" s="156">
        <f t="shared" si="22"/>
        <v>21882</v>
      </c>
      <c r="M49" s="156">
        <f>SUM(M44:M48)</f>
        <v>21882</v>
      </c>
      <c r="N49" s="156">
        <f>SUM(N44:N48)</f>
        <v>24382</v>
      </c>
      <c r="O49" s="156">
        <f>SUM(O44:O48)</f>
        <v>26382</v>
      </c>
      <c r="P49" s="156">
        <f>SUM(P44:P48)</f>
        <v>27182</v>
      </c>
      <c r="Q49" s="156">
        <f>SUM(Q44:Q48)</f>
        <v>27982</v>
      </c>
      <c r="Y49" s="4"/>
      <c r="Z49" s="4"/>
      <c r="AA49" s="4"/>
      <c r="AB49" s="4"/>
    </row>
    <row r="50" spans="1:28" ht="13.5">
      <c r="A50" s="152" t="s">
        <v>170</v>
      </c>
      <c r="B50" s="149"/>
      <c r="C50" s="149"/>
      <c r="D50" s="149"/>
      <c r="E50" s="149"/>
      <c r="F50" s="149"/>
      <c r="G50" s="3"/>
      <c r="H50" s="85"/>
      <c r="I50" s="85"/>
      <c r="J50" s="630"/>
      <c r="K50" s="3"/>
      <c r="L50" s="3"/>
      <c r="M50" s="3"/>
      <c r="N50" s="3"/>
      <c r="O50" s="3"/>
      <c r="P50" s="3"/>
      <c r="Q50" s="3"/>
      <c r="Y50" s="4"/>
      <c r="Z50" s="4"/>
      <c r="AA50" s="4"/>
      <c r="AB50" s="4"/>
    </row>
    <row r="51" spans="1:28" ht="13.5" outlineLevel="1">
      <c r="A51" s="148" t="s">
        <v>171</v>
      </c>
      <c r="B51" s="149">
        <v>9039</v>
      </c>
      <c r="C51" s="149">
        <v>20718</v>
      </c>
      <c r="D51" s="149">
        <f>9671+11</f>
        <v>9682</v>
      </c>
      <c r="E51" s="157">
        <v>7053</v>
      </c>
      <c r="F51" s="157">
        <v>24216</v>
      </c>
      <c r="G51" s="3">
        <v>32311</v>
      </c>
      <c r="H51" s="85">
        <v>26813</v>
      </c>
      <c r="I51" s="85">
        <v>6942</v>
      </c>
      <c r="J51" s="85">
        <v>6942</v>
      </c>
      <c r="K51" s="3">
        <f aca="true" t="shared" si="23" ref="K51:Q51">J51</f>
        <v>6942</v>
      </c>
      <c r="L51" s="3">
        <f t="shared" si="23"/>
        <v>6942</v>
      </c>
      <c r="M51" s="3">
        <f t="shared" si="23"/>
        <v>6942</v>
      </c>
      <c r="N51" s="3">
        <f t="shared" si="23"/>
        <v>6942</v>
      </c>
      <c r="O51" s="3">
        <f t="shared" si="23"/>
        <v>6942</v>
      </c>
      <c r="P51" s="3">
        <f t="shared" si="23"/>
        <v>6942</v>
      </c>
      <c r="Q51" s="3">
        <f t="shared" si="23"/>
        <v>6942</v>
      </c>
      <c r="Y51" s="4"/>
      <c r="Z51" s="4"/>
      <c r="AA51" s="4"/>
      <c r="AB51" s="4"/>
    </row>
    <row r="52" spans="1:28" ht="13.5" outlineLevel="1">
      <c r="A52" s="148" t="s">
        <v>172</v>
      </c>
      <c r="B52" s="149">
        <v>3004</v>
      </c>
      <c r="C52" s="149">
        <v>51</v>
      </c>
      <c r="D52" s="149">
        <f>79-11</f>
        <v>68</v>
      </c>
      <c r="E52" s="157">
        <v>79</v>
      </c>
      <c r="F52" s="157">
        <v>1361</v>
      </c>
      <c r="G52" s="3">
        <v>1453</v>
      </c>
      <c r="H52" s="85">
        <v>1855</v>
      </c>
      <c r="I52" s="85">
        <v>2217</v>
      </c>
      <c r="J52" s="85">
        <v>2217</v>
      </c>
      <c r="K52" s="3">
        <f aca="true" t="shared" si="24" ref="K52:Q52">J52</f>
        <v>2217</v>
      </c>
      <c r="L52" s="3">
        <f t="shared" si="24"/>
        <v>2217</v>
      </c>
      <c r="M52" s="3">
        <f t="shared" si="24"/>
        <v>2217</v>
      </c>
      <c r="N52" s="3">
        <f t="shared" si="24"/>
        <v>2217</v>
      </c>
      <c r="O52" s="3">
        <f t="shared" si="24"/>
        <v>2217</v>
      </c>
      <c r="P52" s="3">
        <f t="shared" si="24"/>
        <v>2217</v>
      </c>
      <c r="Q52" s="3">
        <f t="shared" si="24"/>
        <v>2217</v>
      </c>
      <c r="Y52" s="4"/>
      <c r="Z52" s="4"/>
      <c r="AA52" s="4"/>
      <c r="AB52" s="4"/>
    </row>
    <row r="53" spans="1:28" ht="13.5" outlineLevel="1">
      <c r="A53" s="148" t="s">
        <v>173</v>
      </c>
      <c r="B53" s="149">
        <v>131</v>
      </c>
      <c r="C53" s="149">
        <v>35</v>
      </c>
      <c r="D53" s="149">
        <v>116</v>
      </c>
      <c r="E53" s="149"/>
      <c r="F53" s="149"/>
      <c r="G53" s="3"/>
      <c r="H53" s="85">
        <v>895</v>
      </c>
      <c r="I53" s="85">
        <v>1345</v>
      </c>
      <c r="J53" s="85">
        <v>1345</v>
      </c>
      <c r="K53" s="3">
        <f aca="true" t="shared" si="25" ref="K53:Q53">J53+K149</f>
        <v>64345</v>
      </c>
      <c r="L53" s="3">
        <f t="shared" si="25"/>
        <v>127345</v>
      </c>
      <c r="M53" s="3">
        <f t="shared" si="25"/>
        <v>190345</v>
      </c>
      <c r="N53" s="3">
        <f t="shared" si="25"/>
        <v>88345</v>
      </c>
      <c r="O53" s="3">
        <f t="shared" si="25"/>
        <v>46345</v>
      </c>
      <c r="P53" s="3">
        <f t="shared" si="25"/>
        <v>23345</v>
      </c>
      <c r="Q53" s="3">
        <f t="shared" si="25"/>
        <v>1345</v>
      </c>
      <c r="Y53" s="4"/>
      <c r="Z53" s="4"/>
      <c r="AA53" s="4"/>
      <c r="AB53" s="4"/>
    </row>
    <row r="54" spans="1:28" ht="13.5" outlineLevel="1">
      <c r="A54" s="148" t="s">
        <v>174</v>
      </c>
      <c r="B54" s="149"/>
      <c r="C54" s="149"/>
      <c r="D54" s="149"/>
      <c r="E54" s="149"/>
      <c r="F54" s="149"/>
      <c r="G54" s="3">
        <v>0</v>
      </c>
      <c r="H54" s="85">
        <v>0</v>
      </c>
      <c r="I54" s="85"/>
      <c r="J54" s="85">
        <v>0</v>
      </c>
      <c r="K54" s="3"/>
      <c r="L54" s="3"/>
      <c r="M54" s="3"/>
      <c r="N54" s="3"/>
      <c r="O54" s="3"/>
      <c r="P54" s="3"/>
      <c r="Q54" s="3"/>
      <c r="Y54" s="4"/>
      <c r="Z54" s="4"/>
      <c r="AA54" s="4"/>
      <c r="AB54" s="4"/>
    </row>
    <row r="55" spans="1:28" ht="13.5" outlineLevel="1">
      <c r="A55" s="159" t="s">
        <v>323</v>
      </c>
      <c r="B55" s="149"/>
      <c r="C55" s="149"/>
      <c r="D55" s="149"/>
      <c r="E55" s="149"/>
      <c r="F55" s="149"/>
      <c r="G55" s="3"/>
      <c r="H55" s="85"/>
      <c r="I55" s="85">
        <v>2509</v>
      </c>
      <c r="J55" s="85">
        <v>2509</v>
      </c>
      <c r="K55" s="3">
        <v>1440</v>
      </c>
      <c r="L55" s="3">
        <v>1440</v>
      </c>
      <c r="M55" s="3">
        <v>1440</v>
      </c>
      <c r="N55" s="3">
        <v>1440</v>
      </c>
      <c r="O55" s="3">
        <v>1440</v>
      </c>
      <c r="P55" s="3">
        <v>1440</v>
      </c>
      <c r="Q55" s="3">
        <v>1440</v>
      </c>
      <c r="Y55" s="4"/>
      <c r="Z55" s="4"/>
      <c r="AA55" s="4"/>
      <c r="AB55" s="4"/>
    </row>
    <row r="56" spans="1:28" ht="13.5" outlineLevel="1">
      <c r="A56" s="148" t="s">
        <v>175</v>
      </c>
      <c r="B56" s="149">
        <v>99</v>
      </c>
      <c r="C56" s="149">
        <v>57</v>
      </c>
      <c r="D56" s="149">
        <v>87</v>
      </c>
      <c r="E56" s="149"/>
      <c r="F56" s="149"/>
      <c r="G56" s="3"/>
      <c r="H56" s="85">
        <v>1927</v>
      </c>
      <c r="I56" s="85">
        <v>1650</v>
      </c>
      <c r="J56" s="85">
        <v>1650</v>
      </c>
      <c r="K56" s="3">
        <f aca="true" t="shared" si="26" ref="K56:Q56">J56</f>
        <v>1650</v>
      </c>
      <c r="L56" s="3">
        <f t="shared" si="26"/>
        <v>1650</v>
      </c>
      <c r="M56" s="3">
        <f t="shared" si="26"/>
        <v>1650</v>
      </c>
      <c r="N56" s="3">
        <f t="shared" si="26"/>
        <v>1650</v>
      </c>
      <c r="O56" s="3">
        <f t="shared" si="26"/>
        <v>1650</v>
      </c>
      <c r="P56" s="3">
        <f t="shared" si="26"/>
        <v>1650</v>
      </c>
      <c r="Q56" s="3">
        <f t="shared" si="26"/>
        <v>1650</v>
      </c>
      <c r="Y56" s="4"/>
      <c r="Z56" s="4"/>
      <c r="AA56" s="4"/>
      <c r="AB56" s="4"/>
    </row>
    <row r="57" spans="1:28" ht="13.5" outlineLevel="1">
      <c r="A57" s="148" t="s">
        <v>176</v>
      </c>
      <c r="B57" s="149">
        <v>136</v>
      </c>
      <c r="C57" s="149"/>
      <c r="D57" s="149"/>
      <c r="E57" s="157">
        <v>11921</v>
      </c>
      <c r="F57" s="157">
        <v>310</v>
      </c>
      <c r="G57" s="3">
        <v>503</v>
      </c>
      <c r="H57" s="85">
        <v>962</v>
      </c>
      <c r="I57" s="85">
        <v>1089</v>
      </c>
      <c r="J57" s="85">
        <v>1089</v>
      </c>
      <c r="K57" s="3">
        <f aca="true" t="shared" si="27" ref="K57:Q59">J57</f>
        <v>1089</v>
      </c>
      <c r="L57" s="3">
        <f t="shared" si="27"/>
        <v>1089</v>
      </c>
      <c r="M57" s="3">
        <f t="shared" si="27"/>
        <v>1089</v>
      </c>
      <c r="N57" s="3">
        <f t="shared" si="27"/>
        <v>1089</v>
      </c>
      <c r="O57" s="3">
        <f t="shared" si="27"/>
        <v>1089</v>
      </c>
      <c r="P57" s="3">
        <f t="shared" si="27"/>
        <v>1089</v>
      </c>
      <c r="Q57" s="3">
        <f t="shared" si="27"/>
        <v>1089</v>
      </c>
      <c r="Y57" s="4"/>
      <c r="Z57" s="4"/>
      <c r="AA57" s="4"/>
      <c r="AB57" s="4"/>
    </row>
    <row r="58" spans="1:28" ht="13.5" outlineLevel="1">
      <c r="A58" s="148" t="s">
        <v>177</v>
      </c>
      <c r="B58" s="149">
        <v>248</v>
      </c>
      <c r="C58" s="149">
        <v>1049</v>
      </c>
      <c r="D58" s="149">
        <v>630</v>
      </c>
      <c r="E58" s="157">
        <v>561</v>
      </c>
      <c r="F58" s="157">
        <v>2017</v>
      </c>
      <c r="G58" s="3">
        <v>12798</v>
      </c>
      <c r="H58" s="85">
        <v>10486</v>
      </c>
      <c r="I58" s="85">
        <v>7951</v>
      </c>
      <c r="J58" s="85">
        <v>7951</v>
      </c>
      <c r="K58" s="3">
        <f t="shared" si="27"/>
        <v>7951</v>
      </c>
      <c r="L58" s="3">
        <f t="shared" si="27"/>
        <v>7951</v>
      </c>
      <c r="M58" s="3">
        <f t="shared" si="27"/>
        <v>7951</v>
      </c>
      <c r="N58" s="3">
        <f t="shared" si="27"/>
        <v>7951</v>
      </c>
      <c r="O58" s="3">
        <f t="shared" si="27"/>
        <v>7951</v>
      </c>
      <c r="P58" s="3">
        <f t="shared" si="27"/>
        <v>7951</v>
      </c>
      <c r="Q58" s="3">
        <f t="shared" si="27"/>
        <v>7951</v>
      </c>
      <c r="Y58" s="4"/>
      <c r="Z58" s="4"/>
      <c r="AA58" s="4"/>
      <c r="AB58" s="4"/>
    </row>
    <row r="59" spans="1:28" ht="13.5" outlineLevel="1">
      <c r="A59" s="148" t="s">
        <v>178</v>
      </c>
      <c r="B59" s="149"/>
      <c r="C59" s="149">
        <v>177</v>
      </c>
      <c r="D59" s="149"/>
      <c r="E59" s="149"/>
      <c r="F59" s="149"/>
      <c r="G59" s="3"/>
      <c r="H59" s="85">
        <v>650</v>
      </c>
      <c r="I59" s="85">
        <v>935</v>
      </c>
      <c r="J59" s="85">
        <v>935</v>
      </c>
      <c r="K59" s="3">
        <f t="shared" si="27"/>
        <v>935</v>
      </c>
      <c r="L59" s="3">
        <f t="shared" si="27"/>
        <v>935</v>
      </c>
      <c r="M59" s="3">
        <f t="shared" si="27"/>
        <v>935</v>
      </c>
      <c r="N59" s="3">
        <f t="shared" si="27"/>
        <v>935</v>
      </c>
      <c r="O59" s="3">
        <f t="shared" si="27"/>
        <v>935</v>
      </c>
      <c r="P59" s="3">
        <f t="shared" si="27"/>
        <v>935</v>
      </c>
      <c r="Q59" s="3">
        <f t="shared" si="27"/>
        <v>935</v>
      </c>
      <c r="Y59" s="4"/>
      <c r="Z59" s="4"/>
      <c r="AA59" s="4"/>
      <c r="AB59" s="4"/>
    </row>
    <row r="60" spans="1:28" ht="13.5">
      <c r="A60" s="150" t="s">
        <v>179</v>
      </c>
      <c r="B60" s="151">
        <f>SUM(B51:B59)</f>
        <v>12657</v>
      </c>
      <c r="C60" s="151">
        <f aca="true" t="shared" si="28" ref="C60:I60">SUM(C51:C59)</f>
        <v>22087</v>
      </c>
      <c r="D60" s="151">
        <f t="shared" si="28"/>
        <v>10583</v>
      </c>
      <c r="E60" s="151">
        <f t="shared" si="28"/>
        <v>19614</v>
      </c>
      <c r="F60" s="151">
        <f t="shared" si="28"/>
        <v>27904</v>
      </c>
      <c r="G60" s="6">
        <f t="shared" si="28"/>
        <v>47065</v>
      </c>
      <c r="H60" s="6">
        <f t="shared" si="28"/>
        <v>43588</v>
      </c>
      <c r="I60" s="6">
        <f t="shared" si="28"/>
        <v>24638</v>
      </c>
      <c r="J60" s="618">
        <v>24638</v>
      </c>
      <c r="K60" s="6">
        <f>SUM(K51:K59)</f>
        <v>86569</v>
      </c>
      <c r="L60" s="6">
        <f aca="true" t="shared" si="29" ref="L60:Q60">SUM(L51:L59)</f>
        <v>149569</v>
      </c>
      <c r="M60" s="6">
        <f t="shared" si="29"/>
        <v>212569</v>
      </c>
      <c r="N60" s="6">
        <f t="shared" si="29"/>
        <v>110569</v>
      </c>
      <c r="O60" s="6">
        <f t="shared" si="29"/>
        <v>68569</v>
      </c>
      <c r="P60" s="6">
        <f t="shared" si="29"/>
        <v>45569</v>
      </c>
      <c r="Q60" s="6">
        <f t="shared" si="29"/>
        <v>23569</v>
      </c>
      <c r="Y60" s="4"/>
      <c r="Z60" s="4"/>
      <c r="AA60" s="4"/>
      <c r="AB60" s="4"/>
    </row>
    <row r="61" spans="1:28" ht="13.5">
      <c r="A61" s="152" t="s">
        <v>180</v>
      </c>
      <c r="B61" s="160"/>
      <c r="C61" s="160"/>
      <c r="D61" s="160"/>
      <c r="E61" s="160"/>
      <c r="F61" s="160"/>
      <c r="G61" s="163"/>
      <c r="H61" s="330"/>
      <c r="I61" s="330"/>
      <c r="J61" s="632"/>
      <c r="K61" s="152"/>
      <c r="L61" s="152"/>
      <c r="M61" s="152"/>
      <c r="N61" s="152"/>
      <c r="O61" s="152"/>
      <c r="P61" s="152"/>
      <c r="Q61" s="152"/>
      <c r="Y61" s="4"/>
      <c r="Z61" s="4"/>
      <c r="AA61" s="4"/>
      <c r="AB61" s="4"/>
    </row>
    <row r="62" spans="1:28" ht="13.5" outlineLevel="1">
      <c r="A62" s="148" t="s">
        <v>181</v>
      </c>
      <c r="B62" s="160"/>
      <c r="C62" s="160"/>
      <c r="D62" s="160"/>
      <c r="E62" s="160"/>
      <c r="F62" s="160"/>
      <c r="G62" s="163"/>
      <c r="H62" s="330"/>
      <c r="I62" s="330"/>
      <c r="J62" s="330"/>
      <c r="K62" s="152"/>
      <c r="L62" s="152"/>
      <c r="M62" s="152"/>
      <c r="N62" s="152"/>
      <c r="O62" s="152"/>
      <c r="P62" s="152"/>
      <c r="Q62" s="152"/>
      <c r="Y62" s="4"/>
      <c r="Z62" s="4"/>
      <c r="AA62" s="4"/>
      <c r="AB62" s="4"/>
    </row>
    <row r="63" spans="1:28" ht="13.5" outlineLevel="1">
      <c r="A63" s="148" t="s">
        <v>182</v>
      </c>
      <c r="B63" s="160"/>
      <c r="C63" s="160"/>
      <c r="D63" s="160"/>
      <c r="E63" s="160"/>
      <c r="F63" s="160"/>
      <c r="G63" s="163"/>
      <c r="H63" s="330"/>
      <c r="I63" s="330"/>
      <c r="J63" s="330"/>
      <c r="K63" s="152"/>
      <c r="L63" s="152"/>
      <c r="M63" s="152"/>
      <c r="N63" s="152"/>
      <c r="O63" s="152"/>
      <c r="P63" s="152"/>
      <c r="Q63" s="152"/>
      <c r="Y63" s="4"/>
      <c r="Z63" s="4"/>
      <c r="AA63" s="4"/>
      <c r="AB63" s="4"/>
    </row>
    <row r="64" spans="1:28" ht="13.5" outlineLevel="1">
      <c r="A64" s="148" t="s">
        <v>183</v>
      </c>
      <c r="B64" s="160"/>
      <c r="C64" s="160"/>
      <c r="D64" s="160"/>
      <c r="E64" s="160"/>
      <c r="F64" s="160"/>
      <c r="G64" s="163"/>
      <c r="H64" s="330"/>
      <c r="I64" s="330"/>
      <c r="J64" s="330"/>
      <c r="K64" s="152"/>
      <c r="L64" s="152"/>
      <c r="M64" s="152"/>
      <c r="N64" s="152"/>
      <c r="O64" s="152"/>
      <c r="P64" s="152"/>
      <c r="Q64" s="152"/>
      <c r="Y64" s="4"/>
      <c r="Z64" s="4"/>
      <c r="AA64" s="4"/>
      <c r="AB64" s="4"/>
    </row>
    <row r="65" spans="1:28" ht="13.5" outlineLevel="1">
      <c r="A65" s="148" t="s">
        <v>184</v>
      </c>
      <c r="B65" s="160"/>
      <c r="C65" s="160"/>
      <c r="D65" s="160"/>
      <c r="E65" s="160"/>
      <c r="F65" s="160"/>
      <c r="G65" s="163"/>
      <c r="H65" s="330"/>
      <c r="I65" s="330"/>
      <c r="J65" s="330"/>
      <c r="K65" s="152"/>
      <c r="L65" s="152"/>
      <c r="M65" s="152"/>
      <c r="N65" s="152"/>
      <c r="O65" s="152"/>
      <c r="P65" s="152"/>
      <c r="Q65" s="152"/>
      <c r="Y65" s="4"/>
      <c r="Z65" s="4"/>
      <c r="AA65" s="4"/>
      <c r="AB65" s="4"/>
    </row>
    <row r="66" spans="1:28" ht="13.5">
      <c r="A66" s="150" t="s">
        <v>185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6">
        <v>0</v>
      </c>
      <c r="H66" s="331">
        <v>0</v>
      </c>
      <c r="I66" s="331">
        <v>0</v>
      </c>
      <c r="J66" s="633">
        <v>0</v>
      </c>
      <c r="K66" s="156">
        <f aca="true" t="shared" si="30" ref="K66:Q66">SUM(K62:K65)</f>
        <v>0</v>
      </c>
      <c r="L66" s="156">
        <f t="shared" si="30"/>
        <v>0</v>
      </c>
      <c r="M66" s="156">
        <f t="shared" si="30"/>
        <v>0</v>
      </c>
      <c r="N66" s="156">
        <f t="shared" si="30"/>
        <v>0</v>
      </c>
      <c r="O66" s="156">
        <f t="shared" si="30"/>
        <v>0</v>
      </c>
      <c r="P66" s="156">
        <f t="shared" si="30"/>
        <v>0</v>
      </c>
      <c r="Q66" s="156">
        <f t="shared" si="30"/>
        <v>0</v>
      </c>
      <c r="Y66" s="4"/>
      <c r="Z66" s="4"/>
      <c r="AA66" s="4"/>
      <c r="AB66" s="4"/>
    </row>
    <row r="67" spans="1:28" ht="13.5">
      <c r="A67" s="146" t="s">
        <v>186</v>
      </c>
      <c r="B67" s="149"/>
      <c r="C67" s="149"/>
      <c r="D67" s="149"/>
      <c r="E67" s="149"/>
      <c r="F67" s="149"/>
      <c r="G67" s="3"/>
      <c r="H67" s="85"/>
      <c r="I67" s="85"/>
      <c r="J67" s="630"/>
      <c r="K67" s="3"/>
      <c r="L67" s="3"/>
      <c r="M67" s="3"/>
      <c r="N67" s="3"/>
      <c r="O67" s="3"/>
      <c r="P67" s="3"/>
      <c r="Q67" s="3"/>
      <c r="Y67" s="4"/>
      <c r="Z67" s="4"/>
      <c r="AA67" s="4"/>
      <c r="AB67" s="4"/>
    </row>
    <row r="68" spans="1:28" ht="13.5" outlineLevel="1">
      <c r="A68" s="148" t="s">
        <v>187</v>
      </c>
      <c r="B68" s="149">
        <v>970</v>
      </c>
      <c r="C68" s="149">
        <v>38</v>
      </c>
      <c r="D68" s="149">
        <v>30</v>
      </c>
      <c r="E68" s="149">
        <v>501</v>
      </c>
      <c r="F68" s="149">
        <v>496</v>
      </c>
      <c r="G68" s="3">
        <v>736</v>
      </c>
      <c r="H68" s="85">
        <v>484</v>
      </c>
      <c r="I68" s="85">
        <v>440</v>
      </c>
      <c r="J68" s="85"/>
      <c r="K68" s="3"/>
      <c r="L68" s="3"/>
      <c r="M68" s="3"/>
      <c r="N68" s="3"/>
      <c r="O68" s="3"/>
      <c r="P68" s="3"/>
      <c r="Q68" s="3"/>
      <c r="Y68" s="4"/>
      <c r="Z68" s="4"/>
      <c r="AA68" s="4"/>
      <c r="AB68" s="4"/>
    </row>
    <row r="69" spans="1:28" ht="13.5" outlineLevel="1">
      <c r="A69" s="148" t="s">
        <v>188</v>
      </c>
      <c r="B69" s="149">
        <v>710</v>
      </c>
      <c r="C69" s="149">
        <v>581</v>
      </c>
      <c r="D69" s="149">
        <v>369</v>
      </c>
      <c r="E69" s="149">
        <v>11039</v>
      </c>
      <c r="F69" s="149">
        <v>11338</v>
      </c>
      <c r="G69" s="3">
        <v>22434</v>
      </c>
      <c r="H69" s="85">
        <v>11107</v>
      </c>
      <c r="I69" s="85">
        <v>6022</v>
      </c>
      <c r="J69" s="85">
        <v>4529</v>
      </c>
      <c r="K69" s="3">
        <f>parichen_potok!E57+parichen_potok!E58</f>
        <v>3034</v>
      </c>
      <c r="L69" s="3">
        <f>parichen_potok!F57+parichen_potok!F58</f>
        <v>5710</v>
      </c>
      <c r="M69" s="3">
        <f>parichen_potok!G57+parichen_potok!G58</f>
        <v>8149</v>
      </c>
      <c r="N69" s="3">
        <f>parichen_potok!H57+parichen_potok!H58</f>
        <v>13329</v>
      </c>
      <c r="O69" s="3">
        <f>parichen_potok!I57+parichen_potok!I58</f>
        <v>18489</v>
      </c>
      <c r="P69" s="3">
        <f>parichen_potok!J57+parichen_potok!J58</f>
        <v>23969</v>
      </c>
      <c r="Q69" s="3">
        <f>parichen_potok!K57+parichen_potok!K58</f>
        <v>15430</v>
      </c>
      <c r="Y69" s="4"/>
      <c r="Z69" s="4"/>
      <c r="AA69" s="4"/>
      <c r="AB69" s="4"/>
    </row>
    <row r="70" spans="1:28" ht="13.5" outlineLevel="1">
      <c r="A70" s="148" t="s">
        <v>189</v>
      </c>
      <c r="B70" s="149">
        <v>45</v>
      </c>
      <c r="C70" s="149"/>
      <c r="D70" s="149"/>
      <c r="E70" s="149"/>
      <c r="F70" s="149"/>
      <c r="G70" s="3"/>
      <c r="H70" s="330"/>
      <c r="I70" s="330"/>
      <c r="J70" s="330"/>
      <c r="K70" s="3"/>
      <c r="L70" s="3"/>
      <c r="M70" s="3"/>
      <c r="N70" s="3"/>
      <c r="O70" s="3"/>
      <c r="P70" s="3"/>
      <c r="Q70" s="3"/>
      <c r="Y70" s="4"/>
      <c r="Z70" s="4"/>
      <c r="AA70" s="4"/>
      <c r="AB70" s="4"/>
    </row>
    <row r="71" spans="1:28" ht="13.5" outlineLevel="1">
      <c r="A71" s="148" t="s">
        <v>190</v>
      </c>
      <c r="B71" s="149"/>
      <c r="C71" s="149"/>
      <c r="D71" s="149"/>
      <c r="E71" s="149"/>
      <c r="F71" s="149"/>
      <c r="G71" s="3"/>
      <c r="H71" s="85"/>
      <c r="I71" s="85"/>
      <c r="J71" s="85"/>
      <c r="K71" s="161"/>
      <c r="L71" s="161"/>
      <c r="M71" s="161"/>
      <c r="N71" s="161"/>
      <c r="O71" s="161"/>
      <c r="P71" s="161"/>
      <c r="Q71" s="161"/>
      <c r="Y71" s="4"/>
      <c r="Z71" s="4"/>
      <c r="AA71" s="4"/>
      <c r="AB71" s="4"/>
    </row>
    <row r="72" spans="1:28" ht="13.5">
      <c r="A72" s="150" t="s">
        <v>158</v>
      </c>
      <c r="B72" s="151">
        <f>SUM(B68:B71)</f>
        <v>1725</v>
      </c>
      <c r="C72" s="151">
        <f aca="true" t="shared" si="31" ref="C72:I72">SUM(C68:C71)</f>
        <v>619</v>
      </c>
      <c r="D72" s="151">
        <f t="shared" si="31"/>
        <v>399</v>
      </c>
      <c r="E72" s="151">
        <f t="shared" si="31"/>
        <v>11540</v>
      </c>
      <c r="F72" s="151">
        <f t="shared" si="31"/>
        <v>11834</v>
      </c>
      <c r="G72" s="6">
        <f t="shared" si="31"/>
        <v>23170</v>
      </c>
      <c r="H72" s="6">
        <f t="shared" si="31"/>
        <v>11591</v>
      </c>
      <c r="I72" s="6">
        <f t="shared" si="31"/>
        <v>6462</v>
      </c>
      <c r="J72" s="618">
        <v>4529</v>
      </c>
      <c r="K72" s="6">
        <f>SUM(K68:K71)</f>
        <v>3034</v>
      </c>
      <c r="L72" s="6">
        <f aca="true" t="shared" si="32" ref="L72:Q72">SUM(L68:L71)</f>
        <v>5710</v>
      </c>
      <c r="M72" s="6">
        <f t="shared" si="32"/>
        <v>8149</v>
      </c>
      <c r="N72" s="6">
        <f t="shared" si="32"/>
        <v>13329</v>
      </c>
      <c r="O72" s="6">
        <f t="shared" si="32"/>
        <v>18489</v>
      </c>
      <c r="P72" s="6">
        <f t="shared" si="32"/>
        <v>23969</v>
      </c>
      <c r="Q72" s="6">
        <f t="shared" si="32"/>
        <v>15430</v>
      </c>
      <c r="Y72" s="4"/>
      <c r="Z72" s="4"/>
      <c r="AA72" s="4"/>
      <c r="AB72" s="4"/>
    </row>
    <row r="73" spans="1:28" ht="13.5">
      <c r="A73" s="152" t="s">
        <v>159</v>
      </c>
      <c r="B73" s="155"/>
      <c r="C73" s="155"/>
      <c r="D73" s="155"/>
      <c r="E73" s="155"/>
      <c r="F73" s="155"/>
      <c r="G73" s="156"/>
      <c r="H73" s="330"/>
      <c r="I73" s="330"/>
      <c r="J73" s="330"/>
      <c r="K73" s="156"/>
      <c r="L73" s="156"/>
      <c r="M73" s="156"/>
      <c r="N73" s="156"/>
      <c r="O73" s="156"/>
      <c r="P73" s="156"/>
      <c r="Q73" s="156"/>
      <c r="Y73" s="4"/>
      <c r="Z73" s="4"/>
      <c r="AA73" s="4"/>
      <c r="AB73" s="4"/>
    </row>
    <row r="74" spans="1:28" ht="13.5">
      <c r="A74" s="150" t="s">
        <v>160</v>
      </c>
      <c r="B74" s="162">
        <f>B73</f>
        <v>0</v>
      </c>
      <c r="C74" s="162">
        <f>C73</f>
        <v>0</v>
      </c>
      <c r="D74" s="162">
        <v>0</v>
      </c>
      <c r="E74" s="162">
        <v>0</v>
      </c>
      <c r="F74" s="162">
        <v>0</v>
      </c>
      <c r="G74" s="163">
        <v>0</v>
      </c>
      <c r="H74" s="332">
        <v>0</v>
      </c>
      <c r="I74" s="332">
        <v>0</v>
      </c>
      <c r="J74" s="618">
        <v>0</v>
      </c>
      <c r="K74" s="163">
        <f aca="true" t="shared" si="33" ref="K74:Q74">K73</f>
        <v>0</v>
      </c>
      <c r="L74" s="163">
        <f t="shared" si="33"/>
        <v>0</v>
      </c>
      <c r="M74" s="163">
        <f t="shared" si="33"/>
        <v>0</v>
      </c>
      <c r="N74" s="163">
        <f t="shared" si="33"/>
        <v>0</v>
      </c>
      <c r="O74" s="163">
        <f t="shared" si="33"/>
        <v>0</v>
      </c>
      <c r="P74" s="163">
        <f t="shared" si="33"/>
        <v>0</v>
      </c>
      <c r="Q74" s="163">
        <f t="shared" si="33"/>
        <v>0</v>
      </c>
      <c r="Y74" s="4"/>
      <c r="Z74" s="4"/>
      <c r="AA74" s="4"/>
      <c r="AB74" s="4"/>
    </row>
    <row r="75" spans="1:28" ht="13.5">
      <c r="A75" s="164" t="s">
        <v>191</v>
      </c>
      <c r="B75" s="151">
        <f>B49+B60+B72+B74</f>
        <v>19011</v>
      </c>
      <c r="C75" s="151">
        <f aca="true" t="shared" si="34" ref="C75:L75">C49+C60+C72+C74</f>
        <v>27670</v>
      </c>
      <c r="D75" s="151">
        <f t="shared" si="34"/>
        <v>15721</v>
      </c>
      <c r="E75" s="151">
        <f t="shared" si="34"/>
        <v>35849</v>
      </c>
      <c r="F75" s="151">
        <f t="shared" si="34"/>
        <v>56032</v>
      </c>
      <c r="G75" s="6">
        <f>+G49+G60+G66+G72+G74</f>
        <v>89107</v>
      </c>
      <c r="H75" s="6">
        <f>+H49+H60+H66+H72+H74</f>
        <v>76487</v>
      </c>
      <c r="I75" s="6">
        <f>+I49+I60+I66+I72+I74</f>
        <v>52982</v>
      </c>
      <c r="J75" s="618">
        <v>51049</v>
      </c>
      <c r="K75" s="6">
        <f t="shared" si="34"/>
        <v>111485</v>
      </c>
      <c r="L75" s="6">
        <f t="shared" si="34"/>
        <v>177161</v>
      </c>
      <c r="M75" s="6">
        <f>M49+M60+M72+M74</f>
        <v>242600</v>
      </c>
      <c r="N75" s="6">
        <f>N49+N60+N72+N74</f>
        <v>148280</v>
      </c>
      <c r="O75" s="6">
        <f>O49+O60+O72+O74</f>
        <v>113440</v>
      </c>
      <c r="P75" s="6">
        <f>P49+P60+P72+P74</f>
        <v>96720</v>
      </c>
      <c r="Q75" s="6">
        <f>Q49+Q60+Q72+Q74</f>
        <v>66981</v>
      </c>
      <c r="Y75" s="4"/>
      <c r="Z75" s="4"/>
      <c r="AA75" s="4"/>
      <c r="AB75" s="4"/>
    </row>
    <row r="76" spans="1:28" ht="13.5">
      <c r="A76" s="146" t="s">
        <v>192</v>
      </c>
      <c r="B76" s="151"/>
      <c r="C76" s="151"/>
      <c r="D76" s="151"/>
      <c r="E76" s="151"/>
      <c r="F76" s="151"/>
      <c r="G76" s="6"/>
      <c r="H76" s="332"/>
      <c r="I76" s="332"/>
      <c r="J76" s="618"/>
      <c r="K76" s="6"/>
      <c r="L76" s="6"/>
      <c r="M76" s="6"/>
      <c r="N76" s="6"/>
      <c r="O76" s="6"/>
      <c r="P76" s="6"/>
      <c r="Q76" s="6"/>
      <c r="Y76" s="4"/>
      <c r="Z76" s="4"/>
      <c r="AA76" s="4"/>
      <c r="AB76" s="4"/>
    </row>
    <row r="77" spans="1:28" ht="13.5" outlineLevel="1">
      <c r="A77" s="148" t="s">
        <v>193</v>
      </c>
      <c r="B77" s="151"/>
      <c r="C77" s="151"/>
      <c r="D77" s="151"/>
      <c r="E77" s="151"/>
      <c r="F77" s="151"/>
      <c r="G77" s="3">
        <v>3380</v>
      </c>
      <c r="H77" s="333">
        <v>3113</v>
      </c>
      <c r="I77" s="333">
        <v>5897</v>
      </c>
      <c r="J77" s="634">
        <v>5897</v>
      </c>
      <c r="K77" s="3"/>
      <c r="L77" s="3"/>
      <c r="M77" s="3"/>
      <c r="N77" s="3"/>
      <c r="O77" s="3"/>
      <c r="P77" s="3"/>
      <c r="Q77" s="3"/>
      <c r="Y77" s="4"/>
      <c r="Z77" s="4"/>
      <c r="AA77" s="4"/>
      <c r="AB77" s="4"/>
    </row>
    <row r="78" spans="1:28" ht="13.5" outlineLevel="1">
      <c r="A78" s="148" t="s">
        <v>194</v>
      </c>
      <c r="B78" s="151"/>
      <c r="C78" s="151"/>
      <c r="D78" s="151"/>
      <c r="E78" s="151"/>
      <c r="F78" s="151"/>
      <c r="G78" s="6"/>
      <c r="H78" s="334"/>
      <c r="I78" s="334"/>
      <c r="J78" s="64"/>
      <c r="K78" s="6"/>
      <c r="L78" s="6"/>
      <c r="M78" s="6"/>
      <c r="N78" s="6"/>
      <c r="O78" s="6"/>
      <c r="P78" s="6"/>
      <c r="Q78" s="6"/>
      <c r="Y78" s="4"/>
      <c r="Z78" s="4"/>
      <c r="AA78" s="4"/>
      <c r="AB78" s="4"/>
    </row>
    <row r="79" spans="1:28" ht="13.5">
      <c r="A79" s="166" t="s">
        <v>195</v>
      </c>
      <c r="B79" s="151"/>
      <c r="C79" s="151"/>
      <c r="D79" s="151">
        <f aca="true" t="shared" si="35" ref="D79:L79">+D77+D78</f>
        <v>0</v>
      </c>
      <c r="E79" s="151">
        <f t="shared" si="35"/>
        <v>0</v>
      </c>
      <c r="F79" s="151">
        <f t="shared" si="35"/>
        <v>0</v>
      </c>
      <c r="G79" s="6">
        <f t="shared" si="35"/>
        <v>3380</v>
      </c>
      <c r="H79" s="332">
        <f>+H77+H78</f>
        <v>3113</v>
      </c>
      <c r="I79" s="332">
        <f>+I77+I78</f>
        <v>5897</v>
      </c>
      <c r="J79" s="618">
        <v>5897</v>
      </c>
      <c r="K79" s="151">
        <f t="shared" si="35"/>
        <v>0</v>
      </c>
      <c r="L79" s="151">
        <f t="shared" si="35"/>
        <v>0</v>
      </c>
      <c r="M79" s="151">
        <f>+M77+M78</f>
        <v>0</v>
      </c>
      <c r="N79" s="151">
        <f>+N77+N78</f>
        <v>0</v>
      </c>
      <c r="O79" s="151">
        <f>+O77+O78</f>
        <v>0</v>
      </c>
      <c r="P79" s="151">
        <f>+P77+P78</f>
        <v>0</v>
      </c>
      <c r="Q79" s="151">
        <f>+Q77+Q78</f>
        <v>0</v>
      </c>
      <c r="Y79" s="4"/>
      <c r="Z79" s="4"/>
      <c r="AA79" s="4"/>
      <c r="AB79" s="4"/>
    </row>
    <row r="80" spans="1:28" ht="13.5">
      <c r="A80" s="167" t="s">
        <v>196</v>
      </c>
      <c r="B80" s="165">
        <f>B41+B75+B79</f>
        <v>30935</v>
      </c>
      <c r="C80" s="165">
        <f aca="true" t="shared" si="36" ref="C80:L80">C41+C75+C79</f>
        <v>67315</v>
      </c>
      <c r="D80" s="165">
        <f t="shared" si="36"/>
        <v>55476</v>
      </c>
      <c r="E80" s="165">
        <f t="shared" si="36"/>
        <v>94520</v>
      </c>
      <c r="F80" s="165">
        <f t="shared" si="36"/>
        <v>544536</v>
      </c>
      <c r="G80" s="165">
        <f>+G41+G75+G79</f>
        <v>540101</v>
      </c>
      <c r="H80" s="165">
        <f>+H41+H75+H79</f>
        <v>471342</v>
      </c>
      <c r="I80" s="165">
        <f>+I41+I75+I79</f>
        <v>402682</v>
      </c>
      <c r="J80" s="619">
        <v>552001</v>
      </c>
      <c r="K80" s="165">
        <f t="shared" si="36"/>
        <v>593520</v>
      </c>
      <c r="L80" s="165">
        <f t="shared" si="36"/>
        <v>636981</v>
      </c>
      <c r="M80" s="165">
        <f>M41+M75+M79</f>
        <v>676829</v>
      </c>
      <c r="N80" s="165">
        <f>N41+N75+N79</f>
        <v>708609</v>
      </c>
      <c r="O80" s="165">
        <f>O41+O75+O79</f>
        <v>716403</v>
      </c>
      <c r="P80" s="165">
        <f>P41+P75+P79</f>
        <v>713880</v>
      </c>
      <c r="Q80" s="165">
        <f>Q41+Q75+Q79</f>
        <v>665112</v>
      </c>
      <c r="Y80" s="4"/>
      <c r="Z80" s="4"/>
      <c r="AA80" s="4"/>
      <c r="AB80" s="4"/>
    </row>
    <row r="81" spans="1:28" ht="13.5">
      <c r="A81" s="168" t="s">
        <v>197</v>
      </c>
      <c r="B81" s="169">
        <v>3545</v>
      </c>
      <c r="C81" s="169">
        <v>3456</v>
      </c>
      <c r="D81" s="169">
        <v>4035</v>
      </c>
      <c r="E81" s="169">
        <v>3892</v>
      </c>
      <c r="F81" s="169">
        <v>8798</v>
      </c>
      <c r="G81" s="170">
        <v>71842</v>
      </c>
      <c r="H81" s="335">
        <v>12299</v>
      </c>
      <c r="I81" s="335"/>
      <c r="J81" s="170"/>
      <c r="K81" s="170"/>
      <c r="L81" s="170"/>
      <c r="M81" s="170"/>
      <c r="N81" s="170"/>
      <c r="O81" s="170"/>
      <c r="P81" s="170"/>
      <c r="Q81" s="170"/>
      <c r="T81" s="5"/>
      <c r="U81" s="5"/>
      <c r="Y81" s="4"/>
      <c r="Z81" s="4"/>
      <c r="AA81" s="4"/>
      <c r="AB81" s="4"/>
    </row>
    <row r="82" spans="1:28" ht="13.5">
      <c r="A82" s="171"/>
      <c r="B82" s="172"/>
      <c r="C82" s="172"/>
      <c r="D82" s="134"/>
      <c r="E82" s="173"/>
      <c r="J82" s="134"/>
      <c r="K82" s="134"/>
      <c r="L82" s="134"/>
      <c r="N82" s="4"/>
      <c r="O82" s="4"/>
      <c r="P82" s="4"/>
      <c r="Q82" s="4"/>
      <c r="Y82" s="4"/>
      <c r="Z82" s="4"/>
      <c r="AA82" s="4"/>
      <c r="AB82" s="4"/>
    </row>
    <row r="83" spans="1:28" ht="13.5">
      <c r="A83" s="134"/>
      <c r="B83" s="134"/>
      <c r="C83" s="134"/>
      <c r="D83" s="134"/>
      <c r="E83" s="137"/>
      <c r="I83" s="137"/>
      <c r="J83" s="137"/>
      <c r="K83" s="137"/>
      <c r="L83" s="137"/>
      <c r="N83" s="4"/>
      <c r="O83" s="4"/>
      <c r="P83" s="4"/>
      <c r="Q83" s="137" t="s">
        <v>116</v>
      </c>
      <c r="Y83" s="4"/>
      <c r="Z83" s="4"/>
      <c r="AA83" s="4"/>
      <c r="AB83" s="4"/>
    </row>
    <row r="84" spans="1:28" ht="13.5">
      <c r="A84" s="138"/>
      <c r="B84" s="139" t="s">
        <v>3</v>
      </c>
      <c r="C84" s="139" t="s">
        <v>3</v>
      </c>
      <c r="D84" s="139" t="s">
        <v>3</v>
      </c>
      <c r="E84" s="139" t="s">
        <v>118</v>
      </c>
      <c r="F84" s="140" t="s">
        <v>3</v>
      </c>
      <c r="G84" s="140" t="s">
        <v>118</v>
      </c>
      <c r="H84" s="140" t="s">
        <v>118</v>
      </c>
      <c r="I84" s="140" t="s">
        <v>500</v>
      </c>
      <c r="J84" s="140" t="s">
        <v>119</v>
      </c>
      <c r="K84" s="140" t="s">
        <v>119</v>
      </c>
      <c r="L84" s="140" t="s">
        <v>119</v>
      </c>
      <c r="M84" s="140" t="s">
        <v>119</v>
      </c>
      <c r="N84" s="140" t="s">
        <v>119</v>
      </c>
      <c r="O84" s="140" t="s">
        <v>119</v>
      </c>
      <c r="P84" s="140" t="s">
        <v>119</v>
      </c>
      <c r="Q84" s="140" t="s">
        <v>119</v>
      </c>
      <c r="Y84" s="4"/>
      <c r="Z84" s="4"/>
      <c r="AA84" s="4"/>
      <c r="AB84" s="4"/>
    </row>
    <row r="85" spans="1:28" ht="13.5">
      <c r="A85" s="141" t="s">
        <v>198</v>
      </c>
      <c r="B85" s="142">
        <v>39447</v>
      </c>
      <c r="C85" s="142">
        <v>39813</v>
      </c>
      <c r="D85" s="142">
        <v>40178</v>
      </c>
      <c r="E85" s="143">
        <v>40543</v>
      </c>
      <c r="F85" s="143" t="s">
        <v>121</v>
      </c>
      <c r="G85" s="142">
        <v>41274</v>
      </c>
      <c r="H85" s="142">
        <v>41639</v>
      </c>
      <c r="I85" s="142">
        <v>42004</v>
      </c>
      <c r="J85" s="142">
        <v>42369</v>
      </c>
      <c r="K85" s="142">
        <v>42735</v>
      </c>
      <c r="L85" s="143">
        <v>43100</v>
      </c>
      <c r="M85" s="143">
        <v>43465</v>
      </c>
      <c r="N85" s="143">
        <v>43830</v>
      </c>
      <c r="O85" s="143">
        <v>44196</v>
      </c>
      <c r="P85" s="143">
        <v>44561</v>
      </c>
      <c r="Q85" s="143">
        <v>44926</v>
      </c>
      <c r="Y85" s="4"/>
      <c r="Z85" s="4"/>
      <c r="AA85" s="4"/>
      <c r="AB85" s="4"/>
    </row>
    <row r="86" spans="1:28" ht="13.5">
      <c r="A86" s="174" t="s">
        <v>199</v>
      </c>
      <c r="B86" s="175"/>
      <c r="C86" s="175"/>
      <c r="D86" s="175"/>
      <c r="E86" s="151"/>
      <c r="F86" s="151"/>
      <c r="G86" s="176"/>
      <c r="H86" s="176"/>
      <c r="I86" s="176"/>
      <c r="J86" s="176"/>
      <c r="K86" s="176"/>
      <c r="L86" s="6"/>
      <c r="N86" s="4"/>
      <c r="O86" s="4"/>
      <c r="P86" s="4"/>
      <c r="Q86" s="4"/>
      <c r="Y86" s="4"/>
      <c r="Z86" s="4"/>
      <c r="AA86" s="4"/>
      <c r="AB86" s="4"/>
    </row>
    <row r="87" spans="1:28" ht="13.5">
      <c r="A87" s="146" t="s">
        <v>200</v>
      </c>
      <c r="B87" s="149"/>
      <c r="C87" s="149"/>
      <c r="D87" s="149"/>
      <c r="E87" s="149"/>
      <c r="F87" s="149"/>
      <c r="G87" s="3"/>
      <c r="H87" s="3"/>
      <c r="I87" s="3"/>
      <c r="J87" s="3"/>
      <c r="K87" s="3"/>
      <c r="L87" s="3"/>
      <c r="N87" s="4"/>
      <c r="O87" s="4"/>
      <c r="P87" s="4"/>
      <c r="Q87" s="4"/>
      <c r="Y87" s="4"/>
      <c r="Z87" s="4"/>
      <c r="AA87" s="4"/>
      <c r="AB87" s="4"/>
    </row>
    <row r="88" spans="1:28" ht="13.5" outlineLevel="1">
      <c r="A88" s="148" t="s">
        <v>201</v>
      </c>
      <c r="B88" s="149">
        <v>9900</v>
      </c>
      <c r="C88" s="149">
        <v>9900</v>
      </c>
      <c r="D88" s="149">
        <v>9900</v>
      </c>
      <c r="E88" s="149">
        <v>9900</v>
      </c>
      <c r="F88" s="149">
        <v>9900</v>
      </c>
      <c r="G88" s="3">
        <v>9900</v>
      </c>
      <c r="H88" s="3">
        <v>9900</v>
      </c>
      <c r="I88" s="3">
        <v>9900</v>
      </c>
      <c r="J88" s="85">
        <v>9900</v>
      </c>
      <c r="K88" s="3">
        <f aca="true" t="shared" si="37" ref="K88:Q88">J88</f>
        <v>9900</v>
      </c>
      <c r="L88" s="3">
        <f t="shared" si="37"/>
        <v>9900</v>
      </c>
      <c r="M88" s="3">
        <f t="shared" si="37"/>
        <v>9900</v>
      </c>
      <c r="N88" s="3">
        <f t="shared" si="37"/>
        <v>9900</v>
      </c>
      <c r="O88" s="3">
        <f t="shared" si="37"/>
        <v>9900</v>
      </c>
      <c r="P88" s="3">
        <f t="shared" si="37"/>
        <v>9900</v>
      </c>
      <c r="Q88" s="3">
        <f t="shared" si="37"/>
        <v>9900</v>
      </c>
      <c r="Y88" s="4"/>
      <c r="Z88" s="4"/>
      <c r="AA88" s="4"/>
      <c r="AB88" s="4"/>
    </row>
    <row r="89" spans="1:28" ht="13.5" outlineLevel="1">
      <c r="A89" s="148" t="s">
        <v>202</v>
      </c>
      <c r="B89" s="149"/>
      <c r="C89" s="149"/>
      <c r="D89" s="149"/>
      <c r="E89" s="149"/>
      <c r="F89" s="149"/>
      <c r="G89" s="3"/>
      <c r="H89" s="3"/>
      <c r="I89" s="3"/>
      <c r="J89" s="85"/>
      <c r="K89" s="3"/>
      <c r="L89" s="3"/>
      <c r="M89" s="3"/>
      <c r="N89" s="3"/>
      <c r="O89" s="3"/>
      <c r="P89" s="3"/>
      <c r="Q89" s="3"/>
      <c r="Y89" s="4"/>
      <c r="Z89" s="4"/>
      <c r="AA89" s="4"/>
      <c r="AB89" s="4"/>
    </row>
    <row r="90" spans="1:28" ht="13.5" outlineLevel="1">
      <c r="A90" s="148" t="s">
        <v>203</v>
      </c>
      <c r="B90" s="149"/>
      <c r="C90" s="149"/>
      <c r="D90" s="149"/>
      <c r="E90" s="149"/>
      <c r="F90" s="149"/>
      <c r="G90" s="3"/>
      <c r="H90" s="3"/>
      <c r="I90" s="3"/>
      <c r="J90" s="85"/>
      <c r="K90" s="3"/>
      <c r="L90" s="3"/>
      <c r="M90" s="3"/>
      <c r="N90" s="3"/>
      <c r="O90" s="3"/>
      <c r="P90" s="3"/>
      <c r="Q90" s="3"/>
      <c r="Y90" s="4"/>
      <c r="Z90" s="4"/>
      <c r="AA90" s="4"/>
      <c r="AB90" s="4"/>
    </row>
    <row r="91" spans="1:28" ht="13.5">
      <c r="A91" s="150" t="s">
        <v>135</v>
      </c>
      <c r="B91" s="155">
        <f>SUM(B88:B90)</f>
        <v>9900</v>
      </c>
      <c r="C91" s="155">
        <f>SUM(C88:C90)</f>
        <v>9900</v>
      </c>
      <c r="D91" s="155">
        <f>SUM(D88:D90)</f>
        <v>9900</v>
      </c>
      <c r="E91" s="155">
        <f>SUM(E88:E90)</f>
        <v>9900</v>
      </c>
      <c r="F91" s="155">
        <f aca="true" t="shared" si="38" ref="F91:K91">SUM(F88:F90)</f>
        <v>9900</v>
      </c>
      <c r="G91" s="156">
        <f t="shared" si="38"/>
        <v>9900</v>
      </c>
      <c r="H91" s="156">
        <f t="shared" si="38"/>
        <v>9900</v>
      </c>
      <c r="I91" s="156">
        <f t="shared" si="38"/>
        <v>9900</v>
      </c>
      <c r="J91" s="331">
        <v>9900</v>
      </c>
      <c r="K91" s="156">
        <f t="shared" si="38"/>
        <v>9900</v>
      </c>
      <c r="L91" s="156">
        <f aca="true" t="shared" si="39" ref="L91:Q91">SUM(L88:L90)</f>
        <v>9900</v>
      </c>
      <c r="M91" s="156">
        <f t="shared" si="39"/>
        <v>9900</v>
      </c>
      <c r="N91" s="156">
        <f t="shared" si="39"/>
        <v>9900</v>
      </c>
      <c r="O91" s="156">
        <f t="shared" si="39"/>
        <v>9900</v>
      </c>
      <c r="P91" s="156">
        <f t="shared" si="39"/>
        <v>9900</v>
      </c>
      <c r="Q91" s="156">
        <f t="shared" si="39"/>
        <v>9900</v>
      </c>
      <c r="Y91" s="4"/>
      <c r="Z91" s="4"/>
      <c r="AA91" s="4"/>
      <c r="AB91" s="4"/>
    </row>
    <row r="92" spans="1:28" ht="13.5">
      <c r="A92" s="152" t="s">
        <v>204</v>
      </c>
      <c r="B92" s="149"/>
      <c r="C92" s="149"/>
      <c r="D92" s="149"/>
      <c r="E92" s="149"/>
      <c r="F92" s="149"/>
      <c r="G92" s="3"/>
      <c r="H92" s="3"/>
      <c r="I92" s="3"/>
      <c r="J92" s="85"/>
      <c r="K92" s="3"/>
      <c r="L92" s="3"/>
      <c r="M92" s="3"/>
      <c r="N92" s="3"/>
      <c r="O92" s="3"/>
      <c r="P92" s="3"/>
      <c r="Q92" s="3"/>
      <c r="Y92" s="4"/>
      <c r="Z92" s="4"/>
      <c r="AA92" s="4"/>
      <c r="AB92" s="4"/>
    </row>
    <row r="93" spans="1:28" ht="13.5" outlineLevel="1">
      <c r="A93" s="148" t="s">
        <v>205</v>
      </c>
      <c r="B93" s="149"/>
      <c r="C93" s="149"/>
      <c r="D93" s="149"/>
      <c r="E93" s="149"/>
      <c r="F93" s="149"/>
      <c r="G93" s="3"/>
      <c r="H93" s="3"/>
      <c r="I93" s="3"/>
      <c r="J93" s="85"/>
      <c r="K93" s="3"/>
      <c r="L93" s="3"/>
      <c r="M93" s="3"/>
      <c r="N93" s="3"/>
      <c r="O93" s="3"/>
      <c r="P93" s="3"/>
      <c r="Q93" s="3"/>
      <c r="Y93" s="4"/>
      <c r="Z93" s="4"/>
      <c r="AA93" s="4"/>
      <c r="AB93" s="4"/>
    </row>
    <row r="94" spans="1:28" ht="13.5" outlineLevel="1">
      <c r="A94" s="148" t="s">
        <v>206</v>
      </c>
      <c r="B94" s="149"/>
      <c r="C94" s="149">
        <v>28277</v>
      </c>
      <c r="D94" s="149">
        <v>25449</v>
      </c>
      <c r="E94" s="149">
        <v>25449</v>
      </c>
      <c r="F94" s="149">
        <v>63263</v>
      </c>
      <c r="G94" s="3">
        <v>53817</v>
      </c>
      <c r="H94" s="3">
        <v>53916</v>
      </c>
      <c r="I94" s="3">
        <v>53781</v>
      </c>
      <c r="J94" s="85">
        <v>254473</v>
      </c>
      <c r="K94" s="3">
        <f>J94</f>
        <v>254473</v>
      </c>
      <c r="L94" s="3">
        <f aca="true" t="shared" si="40" ref="L94:Q94">K94</f>
        <v>254473</v>
      </c>
      <c r="M94" s="3">
        <f t="shared" si="40"/>
        <v>254473</v>
      </c>
      <c r="N94" s="3">
        <f t="shared" si="40"/>
        <v>254473</v>
      </c>
      <c r="O94" s="3">
        <f t="shared" si="40"/>
        <v>254473</v>
      </c>
      <c r="P94" s="3">
        <f t="shared" si="40"/>
        <v>254473</v>
      </c>
      <c r="Q94" s="3">
        <f t="shared" si="40"/>
        <v>254473</v>
      </c>
      <c r="Y94" s="4"/>
      <c r="Z94" s="4"/>
      <c r="AA94" s="4"/>
      <c r="AB94" s="4"/>
    </row>
    <row r="95" spans="1:28" ht="13.5" outlineLevel="1">
      <c r="A95" s="148" t="s">
        <v>207</v>
      </c>
      <c r="B95" s="149"/>
      <c r="C95" s="149">
        <v>0</v>
      </c>
      <c r="D95" s="149">
        <v>0</v>
      </c>
      <c r="E95" s="149">
        <v>0</v>
      </c>
      <c r="F95" s="149">
        <v>404582</v>
      </c>
      <c r="G95" s="3">
        <v>197171</v>
      </c>
      <c r="H95" s="3">
        <v>82623</v>
      </c>
      <c r="I95" s="3">
        <v>45814</v>
      </c>
      <c r="J95" s="85">
        <v>44123</v>
      </c>
      <c r="K95" s="85">
        <f>+J95-parichen_potok!E49</f>
        <v>44123</v>
      </c>
      <c r="L95" s="85">
        <f>+K95-parichen_potok!F49</f>
        <v>44123</v>
      </c>
      <c r="M95" s="85">
        <f>+L95-parichen_potok!G49</f>
        <v>44123</v>
      </c>
      <c r="N95" s="85">
        <f>+M95-parichen_potok!H49</f>
        <v>44123</v>
      </c>
      <c r="O95" s="85">
        <f>+N95</f>
        <v>44123</v>
      </c>
      <c r="P95" s="85">
        <f>+O95</f>
        <v>44123</v>
      </c>
      <c r="Q95" s="85">
        <f>+P95</f>
        <v>44123</v>
      </c>
      <c r="Y95" s="4"/>
      <c r="Z95" s="4"/>
      <c r="AA95" s="4"/>
      <c r="AB95" s="4"/>
    </row>
    <row r="96" spans="1:28" ht="13.5">
      <c r="A96" s="150" t="s">
        <v>208</v>
      </c>
      <c r="B96" s="155">
        <f>SUM(B93:B95)</f>
        <v>0</v>
      </c>
      <c r="C96" s="155">
        <f>SUM(C93:C95)</f>
        <v>28277</v>
      </c>
      <c r="D96" s="155">
        <f>SUM(D93:D95)</f>
        <v>25449</v>
      </c>
      <c r="E96" s="155">
        <f>SUM(E93:E95)</f>
        <v>25449</v>
      </c>
      <c r="F96" s="155">
        <f aca="true" t="shared" si="41" ref="F96:K96">SUM(F93:F95)</f>
        <v>467845</v>
      </c>
      <c r="G96" s="156">
        <f t="shared" si="41"/>
        <v>250988</v>
      </c>
      <c r="H96" s="156">
        <f t="shared" si="41"/>
        <v>136539</v>
      </c>
      <c r="I96" s="156">
        <f t="shared" si="41"/>
        <v>99595</v>
      </c>
      <c r="J96" s="331">
        <v>298596</v>
      </c>
      <c r="K96" s="156">
        <f t="shared" si="41"/>
        <v>298596</v>
      </c>
      <c r="L96" s="156">
        <f aca="true" t="shared" si="42" ref="L96:Q96">SUM(L93:L95)</f>
        <v>298596</v>
      </c>
      <c r="M96" s="156">
        <f t="shared" si="42"/>
        <v>298596</v>
      </c>
      <c r="N96" s="156">
        <f t="shared" si="42"/>
        <v>298596</v>
      </c>
      <c r="O96" s="156">
        <f t="shared" si="42"/>
        <v>298596</v>
      </c>
      <c r="P96" s="156">
        <f t="shared" si="42"/>
        <v>298596</v>
      </c>
      <c r="Q96" s="156">
        <f t="shared" si="42"/>
        <v>298596</v>
      </c>
      <c r="V96" s="5"/>
      <c r="Y96" s="4"/>
      <c r="Z96" s="4"/>
      <c r="AA96" s="4"/>
      <c r="AB96" s="4"/>
    </row>
    <row r="97" spans="1:28" ht="13.5">
      <c r="A97" s="177" t="s">
        <v>209</v>
      </c>
      <c r="B97" s="149"/>
      <c r="C97" s="149"/>
      <c r="D97" s="149"/>
      <c r="E97" s="149"/>
      <c r="F97" s="149"/>
      <c r="G97" s="3"/>
      <c r="H97" s="3"/>
      <c r="I97" s="3"/>
      <c r="J97" s="617"/>
      <c r="K97" s="3"/>
      <c r="L97" s="3"/>
      <c r="M97" s="3"/>
      <c r="N97" s="3"/>
      <c r="O97" s="3"/>
      <c r="P97" s="3"/>
      <c r="Q97" s="3"/>
      <c r="Y97" s="4"/>
      <c r="Z97" s="4"/>
      <c r="AA97" s="4"/>
      <c r="AB97" s="4"/>
    </row>
    <row r="98" spans="1:28" ht="13.5" outlineLevel="1">
      <c r="A98" s="178" t="s">
        <v>210</v>
      </c>
      <c r="B98" s="149"/>
      <c r="C98" s="149">
        <f aca="true" t="shared" si="43" ref="C98:H98">C99+C100</f>
        <v>-293</v>
      </c>
      <c r="D98" s="149">
        <f t="shared" si="43"/>
        <v>-3680</v>
      </c>
      <c r="E98" s="149">
        <f t="shared" si="43"/>
        <v>-15167</v>
      </c>
      <c r="F98" s="149">
        <f t="shared" si="43"/>
        <v>-30823</v>
      </c>
      <c r="G98" s="3">
        <f t="shared" si="43"/>
        <v>-20703</v>
      </c>
      <c r="H98" s="3">
        <f t="shared" si="43"/>
        <v>-19058</v>
      </c>
      <c r="I98" s="3">
        <v>-31026</v>
      </c>
      <c r="J98" s="85">
        <v>-46293</v>
      </c>
      <c r="K98" s="3">
        <f>J102</f>
        <v>-45604</v>
      </c>
      <c r="L98" s="3">
        <f aca="true" t="shared" si="44" ref="L98:Q98">K102</f>
        <v>-38886</v>
      </c>
      <c r="M98" s="3">
        <f t="shared" si="44"/>
        <v>-34685</v>
      </c>
      <c r="N98" s="3">
        <f t="shared" si="44"/>
        <v>-28384</v>
      </c>
      <c r="O98" s="3">
        <f t="shared" si="44"/>
        <v>-22136</v>
      </c>
      <c r="P98" s="3">
        <f t="shared" si="44"/>
        <v>-16710</v>
      </c>
      <c r="Q98" s="3">
        <f t="shared" si="44"/>
        <v>-11902</v>
      </c>
      <c r="Y98" s="4"/>
      <c r="Z98" s="4"/>
      <c r="AA98" s="4"/>
      <c r="AB98" s="4"/>
    </row>
    <row r="99" spans="1:28" ht="13.5" outlineLevel="1">
      <c r="A99" s="178" t="s">
        <v>211</v>
      </c>
      <c r="B99" s="149"/>
      <c r="C99" s="149"/>
      <c r="D99" s="149"/>
      <c r="E99" s="149"/>
      <c r="F99" s="149"/>
      <c r="G99" s="3"/>
      <c r="H99" s="3"/>
      <c r="I99" s="3"/>
      <c r="J99" s="85"/>
      <c r="K99" s="3"/>
      <c r="L99" s="3"/>
      <c r="M99" s="3"/>
      <c r="N99" s="3"/>
      <c r="O99" s="3"/>
      <c r="P99" s="3"/>
      <c r="Q99" s="3"/>
      <c r="R99" s="5"/>
      <c r="Y99" s="4"/>
      <c r="Z99" s="4"/>
      <c r="AA99" s="4"/>
      <c r="AB99" s="4"/>
    </row>
    <row r="100" spans="1:28" ht="13.5" outlineLevel="1">
      <c r="A100" s="178" t="s">
        <v>212</v>
      </c>
      <c r="B100" s="149"/>
      <c r="C100" s="149">
        <v>-293</v>
      </c>
      <c r="D100" s="149">
        <f>-3160-520</f>
        <v>-3680</v>
      </c>
      <c r="E100" s="149">
        <f>-15089-51-27</f>
        <v>-15167</v>
      </c>
      <c r="F100" s="149">
        <f>-30796-27</f>
        <v>-30823</v>
      </c>
      <c r="G100" s="3">
        <v>-20703</v>
      </c>
      <c r="H100" s="3">
        <v>-19058</v>
      </c>
      <c r="I100" s="3">
        <v>-31026</v>
      </c>
      <c r="J100" s="85">
        <v>-46293</v>
      </c>
      <c r="K100" s="3">
        <f>J102</f>
        <v>-45604</v>
      </c>
      <c r="L100" s="3">
        <f aca="true" t="shared" si="45" ref="L100:Q100">K102</f>
        <v>-38886</v>
      </c>
      <c r="M100" s="3">
        <f t="shared" si="45"/>
        <v>-34685</v>
      </c>
      <c r="N100" s="3">
        <f t="shared" si="45"/>
        <v>-28384</v>
      </c>
      <c r="O100" s="3">
        <f t="shared" si="45"/>
        <v>-22136</v>
      </c>
      <c r="P100" s="3">
        <f t="shared" si="45"/>
        <v>-16710</v>
      </c>
      <c r="Q100" s="3">
        <f t="shared" si="45"/>
        <v>-11902</v>
      </c>
      <c r="Y100" s="4"/>
      <c r="Z100" s="4"/>
      <c r="AA100" s="4"/>
      <c r="AB100" s="4"/>
    </row>
    <row r="101" spans="1:28" ht="13.5" outlineLevel="1">
      <c r="A101" s="178" t="s">
        <v>213</v>
      </c>
      <c r="B101" s="149">
        <v>-293</v>
      </c>
      <c r="C101" s="149">
        <v>-2867</v>
      </c>
      <c r="D101" s="149">
        <f>OPR!D68</f>
        <v>-11460</v>
      </c>
      <c r="E101" s="149">
        <f>OPR!E68</f>
        <v>-15656</v>
      </c>
      <c r="F101" s="149">
        <f>OPR!F68</f>
        <v>1218</v>
      </c>
      <c r="G101" s="3">
        <v>1627</v>
      </c>
      <c r="H101" s="3">
        <v>-12364</v>
      </c>
      <c r="I101" s="3">
        <f>OPR!I68</f>
        <v>-15267</v>
      </c>
      <c r="J101" s="85">
        <v>689</v>
      </c>
      <c r="K101" s="3">
        <f>OPR!K68</f>
        <v>6718</v>
      </c>
      <c r="L101" s="3">
        <f>OPR!L68</f>
        <v>4201</v>
      </c>
      <c r="M101" s="3">
        <f>OPR!M68</f>
        <v>6301</v>
      </c>
      <c r="N101" s="3">
        <f>OPR!N68</f>
        <v>6248</v>
      </c>
      <c r="O101" s="3">
        <f>OPR!O68</f>
        <v>5426</v>
      </c>
      <c r="P101" s="3">
        <f>OPR!P68</f>
        <v>4808</v>
      </c>
      <c r="Q101" s="3">
        <f>OPR!Q68</f>
        <v>5326</v>
      </c>
      <c r="Y101" s="4"/>
      <c r="Z101" s="4"/>
      <c r="AA101" s="4"/>
      <c r="AB101" s="4"/>
    </row>
    <row r="102" spans="1:28" ht="13.5">
      <c r="A102" s="150" t="s">
        <v>214</v>
      </c>
      <c r="B102" s="149">
        <f>B98+B101</f>
        <v>-293</v>
      </c>
      <c r="C102" s="149">
        <f aca="true" t="shared" si="46" ref="C102:K102">C98+C101</f>
        <v>-3160</v>
      </c>
      <c r="D102" s="149">
        <f t="shared" si="46"/>
        <v>-15140</v>
      </c>
      <c r="E102" s="149">
        <f t="shared" si="46"/>
        <v>-30823</v>
      </c>
      <c r="F102" s="149">
        <f t="shared" si="46"/>
        <v>-29605</v>
      </c>
      <c r="G102" s="3">
        <f>+G98+G101</f>
        <v>-19076</v>
      </c>
      <c r="H102" s="3">
        <f>+H98+H101</f>
        <v>-31422</v>
      </c>
      <c r="I102" s="3">
        <f>+I98+I101</f>
        <v>-46293</v>
      </c>
      <c r="J102" s="85">
        <v>-45604</v>
      </c>
      <c r="K102" s="3">
        <f t="shared" si="46"/>
        <v>-38886</v>
      </c>
      <c r="L102" s="3">
        <f aca="true" t="shared" si="47" ref="L102:Q102">L98+L101</f>
        <v>-34685</v>
      </c>
      <c r="M102" s="3">
        <f t="shared" si="47"/>
        <v>-28384</v>
      </c>
      <c r="N102" s="3">
        <f t="shared" si="47"/>
        <v>-22136</v>
      </c>
      <c r="O102" s="3">
        <f t="shared" si="47"/>
        <v>-16710</v>
      </c>
      <c r="P102" s="3">
        <f t="shared" si="47"/>
        <v>-11902</v>
      </c>
      <c r="Q102" s="3">
        <f t="shared" si="47"/>
        <v>-6576</v>
      </c>
      <c r="Y102" s="4"/>
      <c r="Z102" s="4"/>
      <c r="AA102" s="4"/>
      <c r="AB102" s="4"/>
    </row>
    <row r="103" spans="1:28" ht="13.5">
      <c r="A103" s="164" t="s">
        <v>215</v>
      </c>
      <c r="B103" s="151">
        <f>B91+B96+B102</f>
        <v>9607</v>
      </c>
      <c r="C103" s="151">
        <f aca="true" t="shared" si="48" ref="C103:K103">C91+C96+C102</f>
        <v>35017</v>
      </c>
      <c r="D103" s="151">
        <f t="shared" si="48"/>
        <v>20209</v>
      </c>
      <c r="E103" s="151">
        <f t="shared" si="48"/>
        <v>4526</v>
      </c>
      <c r="F103" s="151">
        <f t="shared" si="48"/>
        <v>448140</v>
      </c>
      <c r="G103" s="6">
        <f>+G102+G96+G91</f>
        <v>241812</v>
      </c>
      <c r="H103" s="6">
        <f>+H102+H96+H91</f>
        <v>115017</v>
      </c>
      <c r="I103" s="6">
        <f>+I102+I96+I91</f>
        <v>63202</v>
      </c>
      <c r="J103" s="332">
        <v>262892</v>
      </c>
      <c r="K103" s="6">
        <f t="shared" si="48"/>
        <v>269610</v>
      </c>
      <c r="L103" s="6">
        <f aca="true" t="shared" si="49" ref="L103:Q103">L91+L96+L102</f>
        <v>273811</v>
      </c>
      <c r="M103" s="6">
        <f t="shared" si="49"/>
        <v>280112</v>
      </c>
      <c r="N103" s="6">
        <f t="shared" si="49"/>
        <v>286360</v>
      </c>
      <c r="O103" s="6">
        <f t="shared" si="49"/>
        <v>291786</v>
      </c>
      <c r="P103" s="6">
        <f t="shared" si="49"/>
        <v>296594</v>
      </c>
      <c r="Q103" s="6">
        <f t="shared" si="49"/>
        <v>301920</v>
      </c>
      <c r="Y103" s="4"/>
      <c r="Z103" s="4"/>
      <c r="AA103" s="4"/>
      <c r="AB103" s="4"/>
    </row>
    <row r="104" spans="1:28" ht="13.5">
      <c r="A104" s="146" t="s">
        <v>216</v>
      </c>
      <c r="B104" s="149"/>
      <c r="C104" s="149"/>
      <c r="D104" s="149"/>
      <c r="E104" s="149"/>
      <c r="F104" s="366"/>
      <c r="G104" s="3"/>
      <c r="H104" s="3"/>
      <c r="I104" s="3"/>
      <c r="J104" s="617"/>
      <c r="K104" s="3"/>
      <c r="L104" s="3"/>
      <c r="M104" s="3"/>
      <c r="N104" s="3"/>
      <c r="O104" s="3"/>
      <c r="P104" s="3"/>
      <c r="Q104" s="3"/>
      <c r="T104" s="5"/>
      <c r="U104" s="5"/>
      <c r="Y104" s="4"/>
      <c r="Z104" s="4"/>
      <c r="AA104" s="4"/>
      <c r="AB104" s="4"/>
    </row>
    <row r="105" spans="1:28" ht="13.5">
      <c r="A105" s="146" t="s">
        <v>217</v>
      </c>
      <c r="B105" s="149"/>
      <c r="C105" s="149"/>
      <c r="D105" s="149"/>
      <c r="E105" s="149"/>
      <c r="F105" s="149"/>
      <c r="G105" s="3"/>
      <c r="H105" s="3"/>
      <c r="I105" s="3"/>
      <c r="J105" s="85"/>
      <c r="K105" s="3"/>
      <c r="L105" s="3"/>
      <c r="M105" s="3"/>
      <c r="N105" s="3"/>
      <c r="O105" s="3"/>
      <c r="P105" s="3"/>
      <c r="Q105" s="3"/>
      <c r="Y105" s="4"/>
      <c r="Z105" s="4"/>
      <c r="AA105" s="4"/>
      <c r="AB105" s="4"/>
    </row>
    <row r="106" spans="1:28" ht="13.5" outlineLevel="1">
      <c r="A106" s="148" t="s">
        <v>218</v>
      </c>
      <c r="B106" s="149"/>
      <c r="C106" s="149"/>
      <c r="D106" s="149"/>
      <c r="E106" s="149"/>
      <c r="F106" s="149"/>
      <c r="G106" s="3">
        <v>96540</v>
      </c>
      <c r="H106" s="3">
        <v>137102</v>
      </c>
      <c r="I106" s="3">
        <v>91591</v>
      </c>
      <c r="J106" s="85">
        <v>67466</v>
      </c>
      <c r="K106" s="3">
        <f>J106-24135</f>
        <v>43331</v>
      </c>
      <c r="L106" s="3">
        <f>K106-24135-19196</f>
        <v>0</v>
      </c>
      <c r="M106" s="3">
        <f>L106</f>
        <v>0</v>
      </c>
      <c r="N106" s="3">
        <f>M106</f>
        <v>0</v>
      </c>
      <c r="O106" s="3">
        <f>N106</f>
        <v>0</v>
      </c>
      <c r="P106" s="3">
        <f>O106</f>
        <v>0</v>
      </c>
      <c r="Q106" s="3">
        <f>P106</f>
        <v>0</v>
      </c>
      <c r="S106" s="5"/>
      <c r="X106" s="5"/>
      <c r="Y106" s="4"/>
      <c r="Z106" s="4"/>
      <c r="AA106" s="4"/>
      <c r="AB106" s="4"/>
    </row>
    <row r="107" spans="1:28" ht="13.5" outlineLevel="1">
      <c r="A107" s="148" t="s">
        <v>219</v>
      </c>
      <c r="B107" s="149"/>
      <c r="C107" s="149"/>
      <c r="D107" s="149"/>
      <c r="E107" s="149"/>
      <c r="F107" s="149"/>
      <c r="G107" s="3">
        <v>0</v>
      </c>
      <c r="H107" s="3">
        <v>0</v>
      </c>
      <c r="I107" s="3">
        <v>0</v>
      </c>
      <c r="J107" s="85">
        <v>0</v>
      </c>
      <c r="K107" s="3"/>
      <c r="L107" s="3"/>
      <c r="M107" s="3"/>
      <c r="N107" s="3"/>
      <c r="O107" s="3"/>
      <c r="P107" s="3"/>
      <c r="Q107" s="3"/>
      <c r="Y107" s="4"/>
      <c r="Z107" s="4"/>
      <c r="AA107" s="4"/>
      <c r="AB107" s="4"/>
    </row>
    <row r="108" spans="1:28" ht="13.5" outlineLevel="1">
      <c r="A108" s="148" t="s">
        <v>220</v>
      </c>
      <c r="B108" s="149"/>
      <c r="C108" s="149"/>
      <c r="D108" s="149"/>
      <c r="E108" s="149"/>
      <c r="F108" s="149"/>
      <c r="G108" s="3"/>
      <c r="H108" s="3"/>
      <c r="I108" s="3"/>
      <c r="J108" s="85"/>
      <c r="K108" s="3"/>
      <c r="L108" s="3"/>
      <c r="M108" s="3"/>
      <c r="N108" s="3"/>
      <c r="O108" s="3"/>
      <c r="P108" s="3"/>
      <c r="Q108" s="3"/>
      <c r="Y108" s="4"/>
      <c r="Z108" s="4"/>
      <c r="AA108" s="4"/>
      <c r="AB108" s="4"/>
    </row>
    <row r="109" spans="1:28" ht="13.5" outlineLevel="1">
      <c r="A109" s="148" t="s">
        <v>221</v>
      </c>
      <c r="B109" s="149"/>
      <c r="C109" s="149"/>
      <c r="D109" s="149"/>
      <c r="E109" s="149"/>
      <c r="F109" s="149"/>
      <c r="G109" s="3"/>
      <c r="H109" s="3"/>
      <c r="I109" s="3"/>
      <c r="J109" s="85"/>
      <c r="K109" s="3"/>
      <c r="L109" s="3"/>
      <c r="M109" s="3"/>
      <c r="N109" s="3"/>
      <c r="O109" s="3"/>
      <c r="P109" s="3"/>
      <c r="Q109" s="3"/>
      <c r="Y109" s="4"/>
      <c r="Z109" s="4"/>
      <c r="AA109" s="4"/>
      <c r="AB109" s="4"/>
    </row>
    <row r="110" spans="1:28" ht="13.5" outlineLevel="1">
      <c r="A110" s="148" t="s">
        <v>222</v>
      </c>
      <c r="B110" s="149"/>
      <c r="C110" s="149"/>
      <c r="D110" s="149"/>
      <c r="E110" s="149">
        <v>2589</v>
      </c>
      <c r="F110" s="149">
        <v>5874</v>
      </c>
      <c r="G110" s="3"/>
      <c r="H110" s="3"/>
      <c r="I110" s="3"/>
      <c r="J110" s="85"/>
      <c r="K110" s="3"/>
      <c r="L110" s="3"/>
      <c r="M110" s="3"/>
      <c r="N110" s="3"/>
      <c r="O110" s="3"/>
      <c r="P110" s="3"/>
      <c r="Q110" s="3"/>
      <c r="Y110" s="4"/>
      <c r="Z110" s="4"/>
      <c r="AA110" s="4"/>
      <c r="AB110" s="4"/>
    </row>
    <row r="111" spans="1:28" ht="13.5" outlineLevel="1">
      <c r="A111" s="148" t="s">
        <v>223</v>
      </c>
      <c r="B111" s="149"/>
      <c r="C111" s="149"/>
      <c r="D111" s="149">
        <f aca="true" t="shared" si="50" ref="D111:L111">SUM(D112:D114)</f>
        <v>2066</v>
      </c>
      <c r="E111" s="149">
        <f t="shared" si="50"/>
        <v>1668</v>
      </c>
      <c r="F111" s="149">
        <f t="shared" si="50"/>
        <v>1333</v>
      </c>
      <c r="G111" s="3">
        <f t="shared" si="50"/>
        <v>1787</v>
      </c>
      <c r="H111" s="3">
        <f t="shared" si="50"/>
        <v>1585</v>
      </c>
      <c r="I111" s="3">
        <f t="shared" si="50"/>
        <v>2238</v>
      </c>
      <c r="J111" s="85">
        <v>2036</v>
      </c>
      <c r="K111" s="3">
        <f t="shared" si="50"/>
        <v>1834</v>
      </c>
      <c r="L111" s="3">
        <f t="shared" si="50"/>
        <v>1632</v>
      </c>
      <c r="M111" s="3">
        <f>SUM(M112:M114)</f>
        <v>1430</v>
      </c>
      <c r="N111" s="3">
        <f>SUM(N112:N114)</f>
        <v>1228</v>
      </c>
      <c r="O111" s="3">
        <f>SUM(O112:O114)</f>
        <v>1026</v>
      </c>
      <c r="P111" s="3">
        <f>SUM(P112:P114)</f>
        <v>824</v>
      </c>
      <c r="Q111" s="3">
        <f>SUM(Q112:Q114)</f>
        <v>622</v>
      </c>
      <c r="Y111" s="4"/>
      <c r="Z111" s="4"/>
      <c r="AA111" s="4"/>
      <c r="AB111" s="4"/>
    </row>
    <row r="112" spans="1:28" ht="13.5" outlineLevel="1">
      <c r="A112" s="148" t="s">
        <v>224</v>
      </c>
      <c r="B112" s="149"/>
      <c r="C112" s="149"/>
      <c r="D112" s="149"/>
      <c r="E112" s="149"/>
      <c r="F112" s="149"/>
      <c r="G112" s="3"/>
      <c r="H112" s="3"/>
      <c r="I112" s="3"/>
      <c r="J112" s="85"/>
      <c r="K112" s="3"/>
      <c r="L112" s="3"/>
      <c r="M112" s="3"/>
      <c r="N112" s="3"/>
      <c r="O112" s="3"/>
      <c r="P112" s="3"/>
      <c r="Q112" s="3"/>
      <c r="Y112" s="4"/>
      <c r="Z112" s="4"/>
      <c r="AA112" s="4"/>
      <c r="AB112" s="4"/>
    </row>
    <row r="113" spans="1:28" ht="13.5" outlineLevel="1">
      <c r="A113" s="148" t="s">
        <v>225</v>
      </c>
      <c r="B113" s="149"/>
      <c r="C113" s="149"/>
      <c r="D113" s="149"/>
      <c r="E113" s="149"/>
      <c r="F113" s="149"/>
      <c r="G113" s="3"/>
      <c r="H113" s="3"/>
      <c r="I113" s="3"/>
      <c r="J113" s="85"/>
      <c r="K113" s="3"/>
      <c r="L113" s="3"/>
      <c r="M113" s="3"/>
      <c r="N113" s="3"/>
      <c r="O113" s="3"/>
      <c r="P113" s="3"/>
      <c r="Q113" s="3"/>
      <c r="Y113" s="4"/>
      <c r="Z113" s="4"/>
      <c r="AA113" s="4"/>
      <c r="AB113" s="4"/>
    </row>
    <row r="114" spans="1:28" ht="13.5" outlineLevel="1">
      <c r="A114" s="148" t="s">
        <v>226</v>
      </c>
      <c r="B114" s="149"/>
      <c r="C114" s="149"/>
      <c r="D114" s="149">
        <v>2066</v>
      </c>
      <c r="E114" s="149">
        <v>1668</v>
      </c>
      <c r="F114" s="149">
        <v>1333</v>
      </c>
      <c r="G114" s="3">
        <v>1787</v>
      </c>
      <c r="H114" s="3">
        <v>1585</v>
      </c>
      <c r="I114" s="3">
        <v>2238</v>
      </c>
      <c r="J114" s="85">
        <v>2036</v>
      </c>
      <c r="K114" s="3">
        <f aca="true" t="shared" si="51" ref="K114:Q114">J114-202</f>
        <v>1834</v>
      </c>
      <c r="L114" s="3">
        <f t="shared" si="51"/>
        <v>1632</v>
      </c>
      <c r="M114" s="3">
        <f t="shared" si="51"/>
        <v>1430</v>
      </c>
      <c r="N114" s="3">
        <f t="shared" si="51"/>
        <v>1228</v>
      </c>
      <c r="O114" s="3">
        <f t="shared" si="51"/>
        <v>1026</v>
      </c>
      <c r="P114" s="3">
        <f t="shared" si="51"/>
        <v>824</v>
      </c>
      <c r="Q114" s="3">
        <f t="shared" si="51"/>
        <v>622</v>
      </c>
      <c r="Y114" s="4"/>
      <c r="Z114" s="4"/>
      <c r="AA114" s="4"/>
      <c r="AB114" s="4"/>
    </row>
    <row r="115" spans="1:28" ht="13.5">
      <c r="A115" s="150" t="s">
        <v>135</v>
      </c>
      <c r="B115" s="155">
        <v>0</v>
      </c>
      <c r="C115" s="155">
        <v>0</v>
      </c>
      <c r="D115" s="156">
        <f aca="true" t="shared" si="52" ref="D115:L115">D106+D107+D109+D110+D111</f>
        <v>2066</v>
      </c>
      <c r="E115" s="156">
        <f t="shared" si="52"/>
        <v>4257</v>
      </c>
      <c r="F115" s="156">
        <f t="shared" si="52"/>
        <v>7207</v>
      </c>
      <c r="G115" s="156">
        <f>SUM(G106+G107+G109++G110+G111)</f>
        <v>98327</v>
      </c>
      <c r="H115" s="156">
        <f>SUM(H106+H107+H109++H110+H111)</f>
        <v>138687</v>
      </c>
      <c r="I115" s="156">
        <f>SUM(I106+I107+I109++I110+I111)</f>
        <v>93829</v>
      </c>
      <c r="J115" s="331">
        <v>69502</v>
      </c>
      <c r="K115" s="156">
        <f t="shared" si="52"/>
        <v>45165</v>
      </c>
      <c r="L115" s="156">
        <f t="shared" si="52"/>
        <v>1632</v>
      </c>
      <c r="M115" s="156">
        <f>M106+M107+M109+M110+M111</f>
        <v>1430</v>
      </c>
      <c r="N115" s="156">
        <f>N106+N107+N109+N110+N111</f>
        <v>1228</v>
      </c>
      <c r="O115" s="156">
        <f>O106+O107+O109+O110+O111</f>
        <v>1026</v>
      </c>
      <c r="P115" s="156">
        <f>P106+P107+P109+P110+P111</f>
        <v>824</v>
      </c>
      <c r="Q115" s="156">
        <f>Q106+Q107+Q109+Q110+Q111</f>
        <v>622</v>
      </c>
      <c r="Y115" s="4"/>
      <c r="Z115" s="4"/>
      <c r="AA115" s="4"/>
      <c r="AB115" s="4"/>
    </row>
    <row r="116" spans="1:28" ht="13.5">
      <c r="A116" s="152" t="s">
        <v>227</v>
      </c>
      <c r="B116" s="149"/>
      <c r="C116" s="149"/>
      <c r="D116" s="149"/>
      <c r="E116" s="149"/>
      <c r="F116" s="149"/>
      <c r="G116" s="3"/>
      <c r="H116" s="3"/>
      <c r="I116" s="3"/>
      <c r="J116" s="85"/>
      <c r="K116" s="3"/>
      <c r="L116" s="3"/>
      <c r="M116" s="3"/>
      <c r="N116" s="3"/>
      <c r="O116" s="3"/>
      <c r="P116" s="3"/>
      <c r="Q116" s="3"/>
      <c r="Y116" s="4"/>
      <c r="Z116" s="4"/>
      <c r="AA116" s="4"/>
      <c r="AB116" s="4"/>
    </row>
    <row r="117" spans="1:28" ht="13.5">
      <c r="A117" s="150" t="s">
        <v>228</v>
      </c>
      <c r="B117" s="149"/>
      <c r="C117" s="149"/>
      <c r="D117" s="149">
        <v>2530</v>
      </c>
      <c r="E117" s="149">
        <f>21297</f>
        <v>21297</v>
      </c>
      <c r="F117" s="149">
        <f>45249</f>
        <v>45249</v>
      </c>
      <c r="G117" s="3">
        <v>0</v>
      </c>
      <c r="H117" s="3">
        <v>0</v>
      </c>
      <c r="I117" s="3">
        <v>0</v>
      </c>
      <c r="J117" s="85">
        <v>0</v>
      </c>
      <c r="K117" s="3"/>
      <c r="L117" s="3"/>
      <c r="M117" s="3"/>
      <c r="N117" s="3"/>
      <c r="O117" s="3"/>
      <c r="P117" s="3"/>
      <c r="Q117" s="3"/>
      <c r="Y117" s="4"/>
      <c r="Z117" s="4"/>
      <c r="AA117" s="4"/>
      <c r="AB117" s="4"/>
    </row>
    <row r="118" spans="1:28" ht="13.5">
      <c r="A118" s="164" t="s">
        <v>229</v>
      </c>
      <c r="B118" s="151">
        <f>B115+B117</f>
        <v>0</v>
      </c>
      <c r="C118" s="151">
        <f aca="true" t="shared" si="53" ref="C118:L118">C115+C117</f>
        <v>0</v>
      </c>
      <c r="D118" s="151">
        <f t="shared" si="53"/>
        <v>4596</v>
      </c>
      <c r="E118" s="151">
        <f t="shared" si="53"/>
        <v>25554</v>
      </c>
      <c r="F118" s="151">
        <f t="shared" si="53"/>
        <v>52456</v>
      </c>
      <c r="G118" s="6">
        <f>+G115+G117</f>
        <v>98327</v>
      </c>
      <c r="H118" s="6">
        <f>+H115+H117</f>
        <v>138687</v>
      </c>
      <c r="I118" s="6">
        <f>+I115+I117</f>
        <v>93829</v>
      </c>
      <c r="J118" s="332">
        <v>69502</v>
      </c>
      <c r="K118" s="6">
        <f t="shared" si="53"/>
        <v>45165</v>
      </c>
      <c r="L118" s="6">
        <f t="shared" si="53"/>
        <v>1632</v>
      </c>
      <c r="M118" s="6">
        <f>M115+M117</f>
        <v>1430</v>
      </c>
      <c r="N118" s="6">
        <f>N115+N117</f>
        <v>1228</v>
      </c>
      <c r="O118" s="6">
        <f>O115+O117</f>
        <v>1026</v>
      </c>
      <c r="P118" s="6">
        <f>P115+P117</f>
        <v>824</v>
      </c>
      <c r="Q118" s="6">
        <f>Q115+Q117</f>
        <v>622</v>
      </c>
      <c r="Y118" s="4"/>
      <c r="Z118" s="4"/>
      <c r="AA118" s="4"/>
      <c r="AB118" s="4"/>
    </row>
    <row r="119" spans="1:28" ht="13.5">
      <c r="A119" s="152" t="s">
        <v>230</v>
      </c>
      <c r="B119" s="149"/>
      <c r="C119" s="149"/>
      <c r="D119" s="149"/>
      <c r="E119" s="149"/>
      <c r="F119" s="149"/>
      <c r="G119" s="3"/>
      <c r="H119" s="3"/>
      <c r="I119" s="3"/>
      <c r="J119" s="85"/>
      <c r="K119" s="3"/>
      <c r="L119" s="3"/>
      <c r="M119" s="3"/>
      <c r="N119" s="3"/>
      <c r="O119" s="3"/>
      <c r="P119" s="3"/>
      <c r="Q119" s="3"/>
      <c r="Y119" s="4"/>
      <c r="Z119" s="4"/>
      <c r="AA119" s="4"/>
      <c r="AB119" s="4"/>
    </row>
    <row r="120" spans="1:28" ht="13.5">
      <c r="A120" s="177" t="s">
        <v>231</v>
      </c>
      <c r="B120" s="149"/>
      <c r="C120" s="149"/>
      <c r="D120" s="149"/>
      <c r="E120" s="149"/>
      <c r="F120" s="149"/>
      <c r="G120" s="3"/>
      <c r="H120" s="3"/>
      <c r="I120" s="3"/>
      <c r="J120" s="85"/>
      <c r="K120" s="3"/>
      <c r="L120" s="3"/>
      <c r="M120" s="3"/>
      <c r="N120" s="3"/>
      <c r="O120" s="3"/>
      <c r="P120" s="3"/>
      <c r="Q120" s="3"/>
      <c r="Y120" s="4"/>
      <c r="Z120" s="4"/>
      <c r="AA120" s="4"/>
      <c r="AB120" s="4"/>
    </row>
    <row r="121" spans="1:28" ht="13.5" outlineLevel="1">
      <c r="A121" s="148" t="s">
        <v>232</v>
      </c>
      <c r="B121" s="149">
        <v>5385</v>
      </c>
      <c r="C121" s="149">
        <v>8729</v>
      </c>
      <c r="D121" s="157">
        <v>13950</v>
      </c>
      <c r="E121" s="157">
        <v>51944</v>
      </c>
      <c r="F121" s="157">
        <v>22922</v>
      </c>
      <c r="G121" s="3">
        <v>4237</v>
      </c>
      <c r="H121" s="3">
        <v>1615</v>
      </c>
      <c r="I121" s="3">
        <v>1684</v>
      </c>
      <c r="J121" s="85">
        <v>1684</v>
      </c>
      <c r="K121" s="3">
        <f aca="true" t="shared" si="54" ref="K121:Q121">J121</f>
        <v>1684</v>
      </c>
      <c r="L121" s="3">
        <f t="shared" si="54"/>
        <v>1684</v>
      </c>
      <c r="M121" s="3">
        <f t="shared" si="54"/>
        <v>1684</v>
      </c>
      <c r="N121" s="3">
        <f t="shared" si="54"/>
        <v>1684</v>
      </c>
      <c r="O121" s="3">
        <f t="shared" si="54"/>
        <v>1684</v>
      </c>
      <c r="P121" s="3">
        <f t="shared" si="54"/>
        <v>1684</v>
      </c>
      <c r="Q121" s="3">
        <f t="shared" si="54"/>
        <v>1684</v>
      </c>
      <c r="Y121" s="4"/>
      <c r="Z121" s="4"/>
      <c r="AA121" s="4"/>
      <c r="AB121" s="4"/>
    </row>
    <row r="122" spans="1:28" ht="13.5" outlineLevel="1">
      <c r="A122" s="148" t="s">
        <v>233</v>
      </c>
      <c r="B122" s="149"/>
      <c r="C122" s="149"/>
      <c r="D122" s="149"/>
      <c r="E122" s="149"/>
      <c r="F122" s="149"/>
      <c r="G122" s="3"/>
      <c r="H122" s="3"/>
      <c r="I122" s="3"/>
      <c r="J122" s="85"/>
      <c r="K122" s="3"/>
      <c r="L122" s="3"/>
      <c r="M122" s="3"/>
      <c r="N122" s="3"/>
      <c r="O122" s="3"/>
      <c r="P122" s="3"/>
      <c r="Q122" s="3"/>
      <c r="T122" s="5"/>
      <c r="U122" s="5"/>
      <c r="Y122" s="4"/>
      <c r="Z122" s="4"/>
      <c r="AA122" s="4"/>
      <c r="AB122" s="4"/>
    </row>
    <row r="123" spans="1:28" ht="13.5" outlineLevel="1">
      <c r="A123" s="148" t="s">
        <v>220</v>
      </c>
      <c r="B123" s="149"/>
      <c r="C123" s="149"/>
      <c r="D123" s="149"/>
      <c r="E123" s="149"/>
      <c r="F123" s="149"/>
      <c r="G123" s="3"/>
      <c r="H123" s="3"/>
      <c r="I123" s="3"/>
      <c r="J123" s="85"/>
      <c r="K123" s="3"/>
      <c r="L123" s="3"/>
      <c r="M123" s="3"/>
      <c r="N123" s="3"/>
      <c r="O123" s="3"/>
      <c r="P123" s="3"/>
      <c r="Q123" s="3"/>
      <c r="Y123" s="4"/>
      <c r="Z123" s="4"/>
      <c r="AA123" s="4"/>
      <c r="AB123" s="4"/>
    </row>
    <row r="124" spans="1:28" ht="13.5" outlineLevel="1">
      <c r="A124" s="148" t="s">
        <v>234</v>
      </c>
      <c r="B124" s="149"/>
      <c r="C124" s="149"/>
      <c r="D124" s="149"/>
      <c r="E124" s="149"/>
      <c r="F124" s="149"/>
      <c r="G124" s="3"/>
      <c r="H124" s="3"/>
      <c r="I124" s="3"/>
      <c r="J124" s="85"/>
      <c r="K124" s="3"/>
      <c r="L124" s="3"/>
      <c r="M124" s="3"/>
      <c r="N124" s="3"/>
      <c r="O124" s="3"/>
      <c r="P124" s="3"/>
      <c r="Q124" s="3"/>
      <c r="Y124" s="4"/>
      <c r="Z124" s="4"/>
      <c r="AA124" s="4"/>
      <c r="AB124" s="4"/>
    </row>
    <row r="125" spans="1:28" ht="13.5" outlineLevel="1">
      <c r="A125" s="148" t="s">
        <v>235</v>
      </c>
      <c r="B125" s="149">
        <v>2037</v>
      </c>
      <c r="C125" s="149">
        <v>2576</v>
      </c>
      <c r="D125" s="149">
        <f>1126-6</f>
        <v>1120</v>
      </c>
      <c r="E125" s="149">
        <v>4172</v>
      </c>
      <c r="F125" s="149">
        <v>6293</v>
      </c>
      <c r="G125" s="3">
        <v>12222</v>
      </c>
      <c r="H125" s="3">
        <v>11163</v>
      </c>
      <c r="I125" s="3">
        <v>9961</v>
      </c>
      <c r="J125" s="85">
        <v>9961</v>
      </c>
      <c r="K125" s="3">
        <f>J125-500</f>
        <v>9461</v>
      </c>
      <c r="L125" s="3">
        <f aca="true" t="shared" si="55" ref="L125:Q125">K125-500</f>
        <v>8961</v>
      </c>
      <c r="M125" s="3">
        <f t="shared" si="55"/>
        <v>8461</v>
      </c>
      <c r="N125" s="3">
        <f t="shared" si="55"/>
        <v>7961</v>
      </c>
      <c r="O125" s="3">
        <f t="shared" si="55"/>
        <v>7461</v>
      </c>
      <c r="P125" s="3">
        <f t="shared" si="55"/>
        <v>6961</v>
      </c>
      <c r="Q125" s="3">
        <f t="shared" si="55"/>
        <v>6461</v>
      </c>
      <c r="Y125" s="4"/>
      <c r="Z125" s="4"/>
      <c r="AA125" s="4"/>
      <c r="AB125" s="4"/>
    </row>
    <row r="126" spans="1:28" ht="13.5" outlineLevel="1">
      <c r="A126" s="148" t="s">
        <v>236</v>
      </c>
      <c r="B126" s="149">
        <v>2</v>
      </c>
      <c r="C126" s="149">
        <v>5</v>
      </c>
      <c r="D126" s="149">
        <v>6</v>
      </c>
      <c r="E126" s="149"/>
      <c r="F126" s="157"/>
      <c r="G126" s="3">
        <v>47</v>
      </c>
      <c r="H126" s="3">
        <v>16</v>
      </c>
      <c r="I126" s="3">
        <v>54</v>
      </c>
      <c r="J126" s="85">
        <v>54</v>
      </c>
      <c r="K126" s="3">
        <f aca="true" t="shared" si="56" ref="K126:L131">J126</f>
        <v>54</v>
      </c>
      <c r="L126" s="3">
        <f t="shared" si="56"/>
        <v>54</v>
      </c>
      <c r="M126" s="3">
        <f aca="true" t="shared" si="57" ref="M126:Q127">L126</f>
        <v>54</v>
      </c>
      <c r="N126" s="3">
        <f t="shared" si="57"/>
        <v>54</v>
      </c>
      <c r="O126" s="3">
        <f t="shared" si="57"/>
        <v>54</v>
      </c>
      <c r="P126" s="3">
        <f t="shared" si="57"/>
        <v>54</v>
      </c>
      <c r="Q126" s="3">
        <f t="shared" si="57"/>
        <v>54</v>
      </c>
      <c r="T126" s="5"/>
      <c r="U126" s="5"/>
      <c r="Y126" s="4"/>
      <c r="Z126" s="4"/>
      <c r="AA126" s="4"/>
      <c r="AB126" s="4"/>
    </row>
    <row r="127" spans="1:28" ht="13.5" outlineLevel="1">
      <c r="A127" s="148" t="s">
        <v>237</v>
      </c>
      <c r="B127" s="149">
        <v>207</v>
      </c>
      <c r="C127" s="149">
        <v>6416</v>
      </c>
      <c r="D127" s="149">
        <v>3562</v>
      </c>
      <c r="E127" s="149">
        <v>309</v>
      </c>
      <c r="F127" s="157">
        <v>659</v>
      </c>
      <c r="G127" s="3">
        <v>479</v>
      </c>
      <c r="H127" s="3">
        <v>3271</v>
      </c>
      <c r="I127" s="3">
        <v>660</v>
      </c>
      <c r="J127" s="85">
        <v>660</v>
      </c>
      <c r="K127" s="3">
        <f t="shared" si="56"/>
        <v>660</v>
      </c>
      <c r="L127" s="3">
        <f t="shared" si="56"/>
        <v>660</v>
      </c>
      <c r="M127" s="3">
        <f t="shared" si="57"/>
        <v>660</v>
      </c>
      <c r="N127" s="3">
        <f t="shared" si="57"/>
        <v>660</v>
      </c>
      <c r="O127" s="3">
        <f t="shared" si="57"/>
        <v>660</v>
      </c>
      <c r="P127" s="3">
        <f t="shared" si="57"/>
        <v>660</v>
      </c>
      <c r="Q127" s="3">
        <f t="shared" si="57"/>
        <v>660</v>
      </c>
      <c r="T127" s="5"/>
      <c r="U127" s="5"/>
      <c r="Y127" s="4"/>
      <c r="Z127" s="4"/>
      <c r="AA127" s="4"/>
      <c r="AB127" s="4"/>
    </row>
    <row r="128" spans="1:28" ht="13.5" outlineLevel="1">
      <c r="A128" s="148" t="s">
        <v>238</v>
      </c>
      <c r="B128" s="149">
        <v>5806</v>
      </c>
      <c r="C128" s="149">
        <v>5674</v>
      </c>
      <c r="D128" s="157">
        <v>4473</v>
      </c>
      <c r="E128" s="149">
        <v>3319</v>
      </c>
      <c r="F128" s="149">
        <v>6618</v>
      </c>
      <c r="G128" s="3">
        <v>5819</v>
      </c>
      <c r="H128" s="3">
        <v>5545</v>
      </c>
      <c r="I128" s="3">
        <v>8861</v>
      </c>
      <c r="J128" s="85">
        <v>8861</v>
      </c>
      <c r="K128" s="3">
        <v>6500</v>
      </c>
      <c r="L128" s="3">
        <v>6000</v>
      </c>
      <c r="M128" s="3">
        <v>5500</v>
      </c>
      <c r="N128" s="3">
        <v>5000</v>
      </c>
      <c r="O128" s="3">
        <v>4500</v>
      </c>
      <c r="P128" s="3">
        <v>4750</v>
      </c>
      <c r="Q128" s="3">
        <v>5000</v>
      </c>
      <c r="Y128" s="4"/>
      <c r="Z128" s="4"/>
      <c r="AA128" s="4"/>
      <c r="AB128" s="4"/>
    </row>
    <row r="129" spans="1:28" ht="13.5" outlineLevel="1">
      <c r="A129" s="148" t="s">
        <v>239</v>
      </c>
      <c r="B129" s="149">
        <v>1348</v>
      </c>
      <c r="C129" s="149">
        <v>1389</v>
      </c>
      <c r="D129" s="149">
        <v>2141</v>
      </c>
      <c r="E129" s="149">
        <v>1110</v>
      </c>
      <c r="F129" s="149">
        <v>2283</v>
      </c>
      <c r="G129" s="3">
        <v>1929</v>
      </c>
      <c r="H129" s="3">
        <v>1851</v>
      </c>
      <c r="I129" s="3">
        <v>2349</v>
      </c>
      <c r="J129" s="85">
        <v>2349</v>
      </c>
      <c r="K129" s="3">
        <f aca="true" t="shared" si="58" ref="K129:Q129">INT(J129/J128*K128+0.5)</f>
        <v>1723</v>
      </c>
      <c r="L129" s="3">
        <f t="shared" si="58"/>
        <v>1590</v>
      </c>
      <c r="M129" s="3">
        <f t="shared" si="58"/>
        <v>1458</v>
      </c>
      <c r="N129" s="3">
        <f t="shared" si="58"/>
        <v>1325</v>
      </c>
      <c r="O129" s="3">
        <f t="shared" si="58"/>
        <v>1193</v>
      </c>
      <c r="P129" s="3">
        <f t="shared" si="58"/>
        <v>1259</v>
      </c>
      <c r="Q129" s="3">
        <f t="shared" si="58"/>
        <v>1325</v>
      </c>
      <c r="Y129" s="4"/>
      <c r="Z129" s="4"/>
      <c r="AA129" s="4"/>
      <c r="AB129" s="4"/>
    </row>
    <row r="130" spans="1:28" ht="13.5" outlineLevel="1">
      <c r="A130" s="148" t="s">
        <v>240</v>
      </c>
      <c r="B130" s="149">
        <v>4997</v>
      </c>
      <c r="C130" s="149">
        <v>6025</v>
      </c>
      <c r="D130" s="149">
        <v>3050</v>
      </c>
      <c r="E130" s="157">
        <v>2472</v>
      </c>
      <c r="F130" s="157">
        <v>1441</v>
      </c>
      <c r="G130" s="3">
        <f>102466-297</f>
        <v>102169</v>
      </c>
      <c r="H130" s="3">
        <v>103067</v>
      </c>
      <c r="I130" s="3">
        <v>115904</v>
      </c>
      <c r="J130" s="85">
        <v>91963</v>
      </c>
      <c r="K130" s="3">
        <f aca="true" t="shared" si="59" ref="K130:Q130">K133-SUM(K121:K129)-SUM(K131:K132)</f>
        <v>103536</v>
      </c>
      <c r="L130" s="3">
        <f t="shared" si="59"/>
        <v>136411</v>
      </c>
      <c r="M130" s="3">
        <f t="shared" si="59"/>
        <v>120243</v>
      </c>
      <c r="N130" s="3">
        <f t="shared" si="59"/>
        <v>112561</v>
      </c>
      <c r="O130" s="3">
        <f t="shared" si="59"/>
        <v>92212</v>
      </c>
      <c r="P130" s="3">
        <f t="shared" si="59"/>
        <v>74219</v>
      </c>
      <c r="Q130" s="3">
        <f t="shared" si="59"/>
        <v>16460</v>
      </c>
      <c r="Y130" s="4"/>
      <c r="Z130" s="4"/>
      <c r="AA130" s="4"/>
      <c r="AB130" s="4"/>
    </row>
    <row r="131" spans="1:28" ht="13.5" outlineLevel="1">
      <c r="A131" s="148" t="s">
        <v>241</v>
      </c>
      <c r="B131" s="149">
        <v>121</v>
      </c>
      <c r="C131" s="149">
        <v>160</v>
      </c>
      <c r="D131" s="149">
        <v>1134</v>
      </c>
      <c r="E131" s="149">
        <v>1093</v>
      </c>
      <c r="F131" s="149">
        <v>823</v>
      </c>
      <c r="G131" s="3">
        <v>740</v>
      </c>
      <c r="H131" s="3">
        <v>106</v>
      </c>
      <c r="I131" s="3">
        <v>121</v>
      </c>
      <c r="J131" s="85">
        <v>121</v>
      </c>
      <c r="K131" s="3">
        <f t="shared" si="56"/>
        <v>121</v>
      </c>
      <c r="L131" s="3">
        <f t="shared" si="56"/>
        <v>121</v>
      </c>
      <c r="M131" s="3">
        <f aca="true" t="shared" si="60" ref="M131:Q132">L131</f>
        <v>121</v>
      </c>
      <c r="N131" s="3">
        <f t="shared" si="60"/>
        <v>121</v>
      </c>
      <c r="O131" s="3">
        <f t="shared" si="60"/>
        <v>121</v>
      </c>
      <c r="P131" s="3">
        <f t="shared" si="60"/>
        <v>121</v>
      </c>
      <c r="Q131" s="3">
        <f t="shared" si="60"/>
        <v>121</v>
      </c>
      <c r="Y131" s="4"/>
      <c r="Z131" s="4"/>
      <c r="AA131" s="4"/>
      <c r="AB131" s="4"/>
    </row>
    <row r="132" spans="1:28" ht="13.5" outlineLevel="1">
      <c r="A132" s="148" t="s">
        <v>242</v>
      </c>
      <c r="B132" s="149"/>
      <c r="C132" s="149"/>
      <c r="D132" s="157"/>
      <c r="E132" s="157"/>
      <c r="F132" s="157"/>
      <c r="G132" s="3">
        <v>4875</v>
      </c>
      <c r="H132" s="3">
        <v>8851</v>
      </c>
      <c r="I132" s="3">
        <v>12285</v>
      </c>
      <c r="J132" s="85">
        <v>12285</v>
      </c>
      <c r="K132" s="3">
        <f>J132-1000</f>
        <v>11285</v>
      </c>
      <c r="L132" s="3">
        <f>K132-1000</f>
        <v>10285</v>
      </c>
      <c r="M132" s="3">
        <f>L132-1000</f>
        <v>9285</v>
      </c>
      <c r="N132" s="3">
        <f>M132-1000</f>
        <v>8285</v>
      </c>
      <c r="O132" s="3">
        <f>N132-1000</f>
        <v>7285</v>
      </c>
      <c r="P132" s="3">
        <f t="shared" si="60"/>
        <v>7285</v>
      </c>
      <c r="Q132" s="3">
        <f t="shared" si="60"/>
        <v>7285</v>
      </c>
      <c r="Y132" s="4"/>
      <c r="Z132" s="4"/>
      <c r="AA132" s="4"/>
      <c r="AB132" s="4"/>
    </row>
    <row r="133" spans="1:28" ht="13.5">
      <c r="A133" s="150" t="s">
        <v>135</v>
      </c>
      <c r="B133" s="155">
        <f>B121+B122+SUM(B124:B131)</f>
        <v>19903</v>
      </c>
      <c r="C133" s="155">
        <f>C121+C122+SUM(C124:C131)</f>
        <v>30974</v>
      </c>
      <c r="D133" s="155">
        <f>D121+D122+SUM(D124:D132)</f>
        <v>29436</v>
      </c>
      <c r="E133" s="155">
        <f>E121+E122+SUM(E124:E132)</f>
        <v>64419</v>
      </c>
      <c r="F133" s="155">
        <f>F121+F122+SUM(F124:F132)</f>
        <v>41039</v>
      </c>
      <c r="G133" s="156">
        <f>SUM(G121:G132)</f>
        <v>132517</v>
      </c>
      <c r="H133" s="156">
        <f>SUM(H121:H132)</f>
        <v>135485</v>
      </c>
      <c r="I133" s="156">
        <f>SUM(I121:I132)</f>
        <v>151879</v>
      </c>
      <c r="J133" s="331">
        <v>127938</v>
      </c>
      <c r="K133" s="156">
        <f aca="true" t="shared" si="61" ref="K133:Q133">K80-K103-K118-K140</f>
        <v>135024</v>
      </c>
      <c r="L133" s="156">
        <f t="shared" si="61"/>
        <v>165766</v>
      </c>
      <c r="M133" s="156">
        <f t="shared" si="61"/>
        <v>147466</v>
      </c>
      <c r="N133" s="156">
        <f t="shared" si="61"/>
        <v>137651</v>
      </c>
      <c r="O133" s="156">
        <f t="shared" si="61"/>
        <v>115170</v>
      </c>
      <c r="P133" s="156">
        <f t="shared" si="61"/>
        <v>96993</v>
      </c>
      <c r="Q133" s="156">
        <f t="shared" si="61"/>
        <v>39050</v>
      </c>
      <c r="Y133" s="4"/>
      <c r="Z133" s="4"/>
      <c r="AA133" s="4"/>
      <c r="AB133" s="4"/>
    </row>
    <row r="134" spans="1:28" ht="13.5">
      <c r="A134" s="179" t="s">
        <v>227</v>
      </c>
      <c r="B134" s="149"/>
      <c r="C134" s="149"/>
      <c r="D134" s="149"/>
      <c r="E134" s="149"/>
      <c r="F134" s="149"/>
      <c r="G134" s="3"/>
      <c r="H134" s="418"/>
      <c r="I134" s="3"/>
      <c r="J134" s="620"/>
      <c r="K134" s="156"/>
      <c r="L134" s="156"/>
      <c r="M134" s="156"/>
      <c r="N134" s="156"/>
      <c r="O134" s="156"/>
      <c r="P134" s="156"/>
      <c r="Q134" s="156"/>
      <c r="Y134" s="4"/>
      <c r="Z134" s="4"/>
      <c r="AA134" s="4"/>
      <c r="AB134" s="4"/>
    </row>
    <row r="135" spans="1:28" ht="13.5" outlineLevel="1">
      <c r="A135" s="148" t="s">
        <v>243</v>
      </c>
      <c r="B135" s="180"/>
      <c r="C135" s="180"/>
      <c r="D135" s="180"/>
      <c r="E135" s="180"/>
      <c r="F135" s="180"/>
      <c r="G135" s="181"/>
      <c r="H135" s="181"/>
      <c r="I135" s="181"/>
      <c r="J135" s="333"/>
      <c r="K135" s="181"/>
      <c r="L135" s="181"/>
      <c r="M135" s="181"/>
      <c r="N135" s="181"/>
      <c r="O135" s="181"/>
      <c r="P135" s="181"/>
      <c r="Q135" s="181"/>
      <c r="Y135" s="4"/>
      <c r="Z135" s="4"/>
      <c r="AA135" s="4"/>
      <c r="AB135" s="4"/>
    </row>
    <row r="136" spans="1:28" ht="13.5" outlineLevel="1">
      <c r="A136" s="148" t="s">
        <v>244</v>
      </c>
      <c r="B136" s="180">
        <f>SUM(B137+B138)</f>
        <v>1425</v>
      </c>
      <c r="C136" s="180">
        <f>SUM(C137+C138)</f>
        <v>1324</v>
      </c>
      <c r="D136" s="180">
        <v>1234</v>
      </c>
      <c r="E136" s="180">
        <v>21</v>
      </c>
      <c r="F136" s="180">
        <f>F137+F138</f>
        <v>2901</v>
      </c>
      <c r="G136" s="181">
        <f>G137+G138</f>
        <v>67436</v>
      </c>
      <c r="H136" s="181">
        <f>H137+H138</f>
        <v>82144</v>
      </c>
      <c r="I136" s="181">
        <f>I137+I138</f>
        <v>93763</v>
      </c>
      <c r="J136" s="333">
        <v>91660</v>
      </c>
      <c r="K136" s="181">
        <f>K137+K138</f>
        <v>143712</v>
      </c>
      <c r="L136" s="181">
        <f aca="true" t="shared" si="62" ref="L136:Q136">L137+L138</f>
        <v>195763</v>
      </c>
      <c r="M136" s="181">
        <f t="shared" si="62"/>
        <v>247812</v>
      </c>
      <c r="N136" s="181">
        <f t="shared" si="62"/>
        <v>283361</v>
      </c>
      <c r="O136" s="181">
        <f t="shared" si="62"/>
        <v>308412</v>
      </c>
      <c r="P136" s="181">
        <f t="shared" si="62"/>
        <v>319460</v>
      </c>
      <c r="Q136" s="181">
        <f t="shared" si="62"/>
        <v>323511</v>
      </c>
      <c r="Y136" s="4"/>
      <c r="Z136" s="4"/>
      <c r="AA136" s="4"/>
      <c r="AB136" s="4"/>
    </row>
    <row r="137" spans="1:28" ht="13.5" outlineLevel="1">
      <c r="A137" s="148" t="s">
        <v>245</v>
      </c>
      <c r="B137" s="149">
        <v>1425</v>
      </c>
      <c r="C137" s="149">
        <v>1305</v>
      </c>
      <c r="D137" s="157">
        <v>1216</v>
      </c>
      <c r="E137" s="157"/>
      <c r="F137" s="157"/>
      <c r="G137" s="3">
        <v>66843</v>
      </c>
      <c r="H137" s="3">
        <v>81551</v>
      </c>
      <c r="I137" s="3">
        <v>93177</v>
      </c>
      <c r="J137" s="85">
        <v>91074</v>
      </c>
      <c r="K137" s="3">
        <f aca="true" t="shared" si="63" ref="K137:Q137">J137+K147-U140</f>
        <v>143126</v>
      </c>
      <c r="L137" s="3">
        <f t="shared" si="63"/>
        <v>195177</v>
      </c>
      <c r="M137" s="3">
        <f t="shared" si="63"/>
        <v>247226</v>
      </c>
      <c r="N137" s="3">
        <f t="shared" si="63"/>
        <v>282775</v>
      </c>
      <c r="O137" s="3">
        <f t="shared" si="63"/>
        <v>307826</v>
      </c>
      <c r="P137" s="3">
        <f t="shared" si="63"/>
        <v>318874</v>
      </c>
      <c r="Q137" s="3">
        <f t="shared" si="63"/>
        <v>322925</v>
      </c>
      <c r="R137" s="5"/>
      <c r="T137" s="4">
        <v>2015</v>
      </c>
      <c r="U137" s="4">
        <v>2016</v>
      </c>
      <c r="V137" s="4">
        <v>2017</v>
      </c>
      <c r="W137" s="4">
        <v>2018</v>
      </c>
      <c r="X137" s="4">
        <v>2019</v>
      </c>
      <c r="Y137" s="4">
        <v>2020</v>
      </c>
      <c r="Z137" s="4">
        <v>2021</v>
      </c>
      <c r="AA137" s="4">
        <v>2022</v>
      </c>
      <c r="AB137" s="4"/>
    </row>
    <row r="138" spans="1:28" ht="13.5" outlineLevel="1">
      <c r="A138" s="148" t="s">
        <v>246</v>
      </c>
      <c r="B138" s="149"/>
      <c r="C138" s="149">
        <v>19</v>
      </c>
      <c r="D138" s="149">
        <v>19</v>
      </c>
      <c r="E138" s="149">
        <v>23</v>
      </c>
      <c r="F138" s="157">
        <v>2901</v>
      </c>
      <c r="G138" s="3">
        <v>593</v>
      </c>
      <c r="H138" s="3">
        <v>593</v>
      </c>
      <c r="I138" s="3">
        <v>586</v>
      </c>
      <c r="J138" s="85">
        <v>586</v>
      </c>
      <c r="K138" s="3">
        <f>J138</f>
        <v>586</v>
      </c>
      <c r="L138" s="3">
        <f>K138</f>
        <v>586</v>
      </c>
      <c r="M138" s="3">
        <f aca="true" t="shared" si="64" ref="M138:Q139">L138</f>
        <v>586</v>
      </c>
      <c r="N138" s="3">
        <f t="shared" si="64"/>
        <v>586</v>
      </c>
      <c r="O138" s="3">
        <f t="shared" si="64"/>
        <v>586</v>
      </c>
      <c r="P138" s="3">
        <f t="shared" si="64"/>
        <v>586</v>
      </c>
      <c r="Q138" s="3">
        <f t="shared" si="64"/>
        <v>586</v>
      </c>
      <c r="R138" s="5"/>
      <c r="S138" s="231" t="s">
        <v>437</v>
      </c>
      <c r="T138" s="3"/>
      <c r="U138" s="3"/>
      <c r="V138" s="3"/>
      <c r="W138" s="3"/>
      <c r="X138" s="3"/>
      <c r="Y138" s="3"/>
      <c r="Z138" s="3"/>
      <c r="AA138" s="3"/>
      <c r="AB138" s="4"/>
    </row>
    <row r="139" spans="1:28" ht="13.5" outlineLevel="1">
      <c r="A139" s="148" t="s">
        <v>247</v>
      </c>
      <c r="B139" s="180"/>
      <c r="C139" s="180"/>
      <c r="D139" s="180"/>
      <c r="E139" s="180"/>
      <c r="F139" s="180"/>
      <c r="G139" s="181">
        <v>9</v>
      </c>
      <c r="H139" s="181">
        <v>9</v>
      </c>
      <c r="I139" s="181">
        <v>9</v>
      </c>
      <c r="J139" s="85">
        <v>9</v>
      </c>
      <c r="K139" s="3">
        <f>J139</f>
        <v>9</v>
      </c>
      <c r="L139" s="3">
        <f>K139</f>
        <v>9</v>
      </c>
      <c r="M139" s="3">
        <f t="shared" si="64"/>
        <v>9</v>
      </c>
      <c r="N139" s="3">
        <f t="shared" si="64"/>
        <v>9</v>
      </c>
      <c r="O139" s="3">
        <f t="shared" si="64"/>
        <v>9</v>
      </c>
      <c r="P139" s="3">
        <f t="shared" si="64"/>
        <v>9</v>
      </c>
      <c r="Q139" s="3">
        <f t="shared" si="64"/>
        <v>9</v>
      </c>
      <c r="R139" s="5"/>
      <c r="S139" s="232" t="s">
        <v>438</v>
      </c>
      <c r="T139" s="5"/>
      <c r="U139" s="5"/>
      <c r="Y139" s="4"/>
      <c r="Z139" s="4"/>
      <c r="AA139" s="4"/>
      <c r="AB139" s="4"/>
    </row>
    <row r="140" spans="1:28" ht="13.5">
      <c r="A140" s="150" t="s">
        <v>248</v>
      </c>
      <c r="B140" s="155">
        <f>B135+B136+B139</f>
        <v>1425</v>
      </c>
      <c r="C140" s="155">
        <f>C135+C136+C139</f>
        <v>1324</v>
      </c>
      <c r="D140" s="155">
        <v>1235</v>
      </c>
      <c r="E140" s="155">
        <f>E135+E136+E139</f>
        <v>21</v>
      </c>
      <c r="F140" s="155">
        <f>F135+F136+F139</f>
        <v>2901</v>
      </c>
      <c r="G140" s="156">
        <f>G135+G136+G139</f>
        <v>67445</v>
      </c>
      <c r="H140" s="156">
        <f>H135+H136+H139</f>
        <v>82153</v>
      </c>
      <c r="I140" s="156">
        <f>I135+I136+I139</f>
        <v>93772</v>
      </c>
      <c r="J140" s="331">
        <v>91669</v>
      </c>
      <c r="K140" s="156">
        <f>K135+K136+K139</f>
        <v>143721</v>
      </c>
      <c r="L140" s="156">
        <f aca="true" t="shared" si="65" ref="L140:Q140">L135+L136+L139</f>
        <v>195772</v>
      </c>
      <c r="M140" s="156">
        <f t="shared" si="65"/>
        <v>247821</v>
      </c>
      <c r="N140" s="156">
        <f t="shared" si="65"/>
        <v>283370</v>
      </c>
      <c r="O140" s="156">
        <f t="shared" si="65"/>
        <v>308421</v>
      </c>
      <c r="P140" s="156">
        <f t="shared" si="65"/>
        <v>319469</v>
      </c>
      <c r="Q140" s="156">
        <f t="shared" si="65"/>
        <v>323520</v>
      </c>
      <c r="S140" s="233"/>
      <c r="T140" s="3">
        <f>OPR!W65</f>
        <v>32097</v>
      </c>
      <c r="U140" s="3">
        <f>OPR!X65</f>
        <v>10948</v>
      </c>
      <c r="V140" s="3">
        <f>OPR!Y65</f>
        <v>10949</v>
      </c>
      <c r="W140" s="3">
        <f>OPR!Z65</f>
        <v>10951</v>
      </c>
      <c r="X140" s="3">
        <f>OPR!AA65</f>
        <v>27451</v>
      </c>
      <c r="Y140" s="3">
        <f>OPR!AB65</f>
        <v>37949</v>
      </c>
      <c r="Z140" s="3">
        <f>OPR!AC65</f>
        <v>45952</v>
      </c>
      <c r="AA140" s="3">
        <f>OPR!AD65</f>
        <v>53949</v>
      </c>
      <c r="AB140" s="4"/>
    </row>
    <row r="141" spans="1:28" ht="13.5">
      <c r="A141" s="158" t="s">
        <v>249</v>
      </c>
      <c r="B141" s="151">
        <f>B133+B140</f>
        <v>21328</v>
      </c>
      <c r="C141" s="151">
        <f aca="true" t="shared" si="66" ref="C141:K141">C133+C140</f>
        <v>32298</v>
      </c>
      <c r="D141" s="151">
        <f t="shared" si="66"/>
        <v>30671</v>
      </c>
      <c r="E141" s="151">
        <f t="shared" si="66"/>
        <v>64440</v>
      </c>
      <c r="F141" s="151">
        <f t="shared" si="66"/>
        <v>43940</v>
      </c>
      <c r="G141" s="6">
        <f>+G140+G133</f>
        <v>199962</v>
      </c>
      <c r="H141" s="6">
        <f>+H140+H133</f>
        <v>217638</v>
      </c>
      <c r="I141" s="6">
        <f>+I140+I133</f>
        <v>245651</v>
      </c>
      <c r="J141" s="332">
        <v>219607</v>
      </c>
      <c r="K141" s="6">
        <f t="shared" si="66"/>
        <v>278745</v>
      </c>
      <c r="L141" s="6">
        <f aca="true" t="shared" si="67" ref="L141:Q141">L133+L140</f>
        <v>361538</v>
      </c>
      <c r="M141" s="6">
        <f t="shared" si="67"/>
        <v>395287</v>
      </c>
      <c r="N141" s="6">
        <f t="shared" si="67"/>
        <v>421021</v>
      </c>
      <c r="O141" s="6">
        <f t="shared" si="67"/>
        <v>423591</v>
      </c>
      <c r="P141" s="6">
        <f t="shared" si="67"/>
        <v>416462</v>
      </c>
      <c r="Q141" s="6">
        <f t="shared" si="67"/>
        <v>362570</v>
      </c>
      <c r="T141" s="5"/>
      <c r="U141" s="5"/>
      <c r="V141" s="5"/>
      <c r="Y141" s="4"/>
      <c r="Z141" s="4"/>
      <c r="AA141" s="4"/>
      <c r="AB141" s="4"/>
    </row>
    <row r="142" spans="1:28" ht="13.5">
      <c r="A142" s="182" t="s">
        <v>250</v>
      </c>
      <c r="B142" s="165">
        <f>B103+B118+B141</f>
        <v>30935</v>
      </c>
      <c r="C142" s="165">
        <f aca="true" t="shared" si="68" ref="C142:K142">C103+C118+C141</f>
        <v>67315</v>
      </c>
      <c r="D142" s="165">
        <f t="shared" si="68"/>
        <v>55476</v>
      </c>
      <c r="E142" s="165">
        <f t="shared" si="68"/>
        <v>94520</v>
      </c>
      <c r="F142" s="165">
        <f t="shared" si="68"/>
        <v>544536</v>
      </c>
      <c r="G142" s="165">
        <f>+G103+G118+G141</f>
        <v>540101</v>
      </c>
      <c r="H142" s="165">
        <f>+H103+H118+H141</f>
        <v>471342</v>
      </c>
      <c r="I142" s="165">
        <f>+I103+I118+I141</f>
        <v>402682</v>
      </c>
      <c r="J142" s="619">
        <v>552001</v>
      </c>
      <c r="K142" s="165">
        <f t="shared" si="68"/>
        <v>593520</v>
      </c>
      <c r="L142" s="165">
        <f aca="true" t="shared" si="69" ref="L142:Q142">L103+L118+L141</f>
        <v>636981</v>
      </c>
      <c r="M142" s="165">
        <f t="shared" si="69"/>
        <v>676829</v>
      </c>
      <c r="N142" s="165">
        <f t="shared" si="69"/>
        <v>708609</v>
      </c>
      <c r="O142" s="165">
        <f t="shared" si="69"/>
        <v>716403</v>
      </c>
      <c r="P142" s="165">
        <f t="shared" si="69"/>
        <v>713880</v>
      </c>
      <c r="Q142" s="165">
        <f t="shared" si="69"/>
        <v>665112</v>
      </c>
      <c r="T142" s="5"/>
      <c r="U142" s="5"/>
      <c r="V142" s="5"/>
      <c r="Y142" s="4"/>
      <c r="Z142" s="4"/>
      <c r="AA142" s="4"/>
      <c r="AB142" s="4"/>
    </row>
    <row r="143" spans="1:28" ht="15" customHeight="1">
      <c r="A143" s="183" t="s">
        <v>251</v>
      </c>
      <c r="B143" s="184">
        <v>3545</v>
      </c>
      <c r="C143" s="184">
        <v>3456</v>
      </c>
      <c r="D143" s="184">
        <v>4035</v>
      </c>
      <c r="E143" s="184">
        <v>3892</v>
      </c>
      <c r="F143" s="184">
        <v>8798</v>
      </c>
      <c r="G143" s="336">
        <v>71842</v>
      </c>
      <c r="H143" s="336">
        <v>12299</v>
      </c>
      <c r="I143" s="336"/>
      <c r="J143" s="635"/>
      <c r="K143" s="185"/>
      <c r="L143" s="185"/>
      <c r="M143" s="185"/>
      <c r="N143" s="185"/>
      <c r="O143" s="185"/>
      <c r="P143" s="185"/>
      <c r="Q143" s="185"/>
      <c r="Y143" s="4"/>
      <c r="Z143" s="4"/>
      <c r="AA143" s="4"/>
      <c r="AB143" s="4"/>
    </row>
    <row r="144" spans="2:28" ht="13.5">
      <c r="B144" s="5">
        <f>B80-B142</f>
        <v>0</v>
      </c>
      <c r="C144" s="5">
        <f>C80-C142</f>
        <v>0</v>
      </c>
      <c r="D144" s="5">
        <f aca="true" t="shared" si="70" ref="D144:Q144">D80-D142</f>
        <v>0</v>
      </c>
      <c r="E144" s="5">
        <f t="shared" si="70"/>
        <v>0</v>
      </c>
      <c r="F144" s="5">
        <f t="shared" si="70"/>
        <v>0</v>
      </c>
      <c r="G144" s="5">
        <f t="shared" si="70"/>
        <v>0</v>
      </c>
      <c r="H144" s="5">
        <f t="shared" si="70"/>
        <v>0</v>
      </c>
      <c r="I144" s="5">
        <f t="shared" si="70"/>
        <v>0</v>
      </c>
      <c r="J144" s="5">
        <f t="shared" si="70"/>
        <v>0</v>
      </c>
      <c r="K144" s="5">
        <f t="shared" si="70"/>
        <v>0</v>
      </c>
      <c r="L144" s="5">
        <f t="shared" si="70"/>
        <v>0</v>
      </c>
      <c r="M144" s="5">
        <f t="shared" si="70"/>
        <v>0</v>
      </c>
      <c r="N144" s="5">
        <f t="shared" si="70"/>
        <v>0</v>
      </c>
      <c r="O144" s="5">
        <f t="shared" si="70"/>
        <v>0</v>
      </c>
      <c r="P144" s="5">
        <f t="shared" si="70"/>
        <v>0</v>
      </c>
      <c r="Q144" s="5">
        <f t="shared" si="70"/>
        <v>0</v>
      </c>
      <c r="Y144" s="4"/>
      <c r="Z144" s="4"/>
      <c r="AA144" s="4"/>
      <c r="AB144" s="4"/>
    </row>
    <row r="145" spans="3:28" ht="13.5" outlineLevel="1">
      <c r="C145" s="5"/>
      <c r="D145" s="5"/>
      <c r="E145" s="172"/>
      <c r="F145" s="172"/>
      <c r="G145" s="172">
        <f>61947+5489</f>
        <v>67436</v>
      </c>
      <c r="H145" s="172">
        <f>70554+11590</f>
        <v>82144</v>
      </c>
      <c r="I145" s="172"/>
      <c r="K145" s="7"/>
      <c r="L145" s="7"/>
      <c r="N145" s="4"/>
      <c r="O145" s="4"/>
      <c r="P145" s="4"/>
      <c r="Q145" s="4"/>
      <c r="Y145" s="4"/>
      <c r="Z145" s="4"/>
      <c r="AA145" s="4"/>
      <c r="AB145" s="4"/>
    </row>
    <row r="146" spans="1:28" ht="13.5" outlineLevel="1">
      <c r="A146" s="186"/>
      <c r="B146" s="186"/>
      <c r="C146" s="5"/>
      <c r="D146" s="5"/>
      <c r="E146" s="187"/>
      <c r="F146" s="187"/>
      <c r="G146" s="187"/>
      <c r="H146" s="187"/>
      <c r="I146" s="187"/>
      <c r="K146" s="7"/>
      <c r="L146" s="7"/>
      <c r="N146" s="4"/>
      <c r="O146" s="4"/>
      <c r="P146" s="4"/>
      <c r="Q146" s="4"/>
      <c r="Y146" s="4"/>
      <c r="Z146" s="4"/>
      <c r="AA146" s="4"/>
      <c r="AB146" s="4"/>
    </row>
    <row r="147" spans="1:28" ht="13.5" outlineLevel="1">
      <c r="A147" s="186" t="s">
        <v>430</v>
      </c>
      <c r="B147" s="186"/>
      <c r="C147" s="5"/>
      <c r="D147" s="5"/>
      <c r="E147" s="187"/>
      <c r="F147" s="187"/>
      <c r="G147" s="187"/>
      <c r="H147" s="187"/>
      <c r="I147" s="187"/>
      <c r="J147" s="615">
        <v>30000</v>
      </c>
      <c r="K147" s="615">
        <f>57000+6000</f>
        <v>63000</v>
      </c>
      <c r="L147" s="615">
        <f>57000+6000</f>
        <v>63000</v>
      </c>
      <c r="M147" s="615">
        <f>39000+18000+6000</f>
        <v>63000</v>
      </c>
      <c r="N147" s="615">
        <f>57000+6000</f>
        <v>63000</v>
      </c>
      <c r="O147" s="615">
        <f>57000+6000</f>
        <v>63000</v>
      </c>
      <c r="P147" s="615">
        <v>57000</v>
      </c>
      <c r="Q147" s="615">
        <v>58000</v>
      </c>
      <c r="R147" s="5">
        <f>SUM(K147:Q147)</f>
        <v>430000</v>
      </c>
      <c r="Y147" s="4"/>
      <c r="Z147" s="4"/>
      <c r="AA147" s="4"/>
      <c r="AB147" s="4"/>
    </row>
    <row r="148" spans="1:28" ht="13.5" outlineLevel="1">
      <c r="A148" s="186" t="s">
        <v>436</v>
      </c>
      <c r="B148" s="186"/>
      <c r="C148" s="5"/>
      <c r="D148" s="5"/>
      <c r="E148" s="187"/>
      <c r="F148" s="187"/>
      <c r="G148" s="187"/>
      <c r="H148" s="187"/>
      <c r="I148" s="187"/>
      <c r="J148" s="615"/>
      <c r="K148" s="615"/>
      <c r="L148" s="615"/>
      <c r="M148" s="615"/>
      <c r="N148" s="615"/>
      <c r="O148" s="615"/>
      <c r="P148" s="615"/>
      <c r="Q148" s="615"/>
      <c r="R148" s="5">
        <f>SUM(K148:Q148)</f>
        <v>0</v>
      </c>
      <c r="Y148" s="4"/>
      <c r="Z148" s="4"/>
      <c r="AA148" s="4"/>
      <c r="AB148" s="4"/>
    </row>
    <row r="149" spans="1:28" ht="13.5" outlineLevel="1">
      <c r="A149" s="186" t="s">
        <v>431</v>
      </c>
      <c r="B149" s="186"/>
      <c r="C149" s="5"/>
      <c r="D149" s="5"/>
      <c r="E149" s="187"/>
      <c r="F149" s="187"/>
      <c r="G149" s="187"/>
      <c r="H149" s="187"/>
      <c r="I149" s="187"/>
      <c r="J149" s="371"/>
      <c r="K149" s="615">
        <f>57000+6000</f>
        <v>63000</v>
      </c>
      <c r="L149" s="615">
        <f>57000+6000</f>
        <v>63000</v>
      </c>
      <c r="M149" s="615">
        <v>63000</v>
      </c>
      <c r="N149" s="615">
        <f>63000-150000-15000</f>
        <v>-102000</v>
      </c>
      <c r="O149" s="615">
        <f>63000-90000-15000</f>
        <v>-42000</v>
      </c>
      <c r="P149" s="615">
        <f>57000-80000</f>
        <v>-23000</v>
      </c>
      <c r="Q149" s="615">
        <f>58000-80000</f>
        <v>-22000</v>
      </c>
      <c r="R149" s="5">
        <f>SUM(K149:Q149)</f>
        <v>0</v>
      </c>
      <c r="Y149" s="4"/>
      <c r="Z149" s="4"/>
      <c r="AA149" s="4"/>
      <c r="AB149" s="4"/>
    </row>
    <row r="150" spans="1:28" ht="13.5" outlineLevel="1">
      <c r="A150" s="186" t="s">
        <v>432</v>
      </c>
      <c r="B150" s="186"/>
      <c r="C150" s="5"/>
      <c r="D150" s="5"/>
      <c r="E150" s="187"/>
      <c r="F150" s="187"/>
      <c r="G150" s="187"/>
      <c r="H150" s="187"/>
      <c r="I150" s="187"/>
      <c r="J150" s="371"/>
      <c r="K150" s="381"/>
      <c r="L150" s="381"/>
      <c r="M150" s="371"/>
      <c r="N150" s="615">
        <v>150000</v>
      </c>
      <c r="O150" s="615">
        <v>90000</v>
      </c>
      <c r="P150" s="615">
        <v>80000</v>
      </c>
      <c r="Q150" s="615">
        <v>80000</v>
      </c>
      <c r="R150" s="5">
        <f>SUM(K150:Q150)</f>
        <v>400000</v>
      </c>
      <c r="Y150" s="4"/>
      <c r="Z150" s="4"/>
      <c r="AA150" s="4"/>
      <c r="AB150" s="4"/>
    </row>
    <row r="151" spans="1:28" ht="13.5" outlineLevel="1">
      <c r="A151" s="186" t="s">
        <v>434</v>
      </c>
      <c r="B151" s="186"/>
      <c r="C151" s="5"/>
      <c r="D151" s="5"/>
      <c r="E151" s="187"/>
      <c r="F151" s="187"/>
      <c r="G151" s="187"/>
      <c r="H151" s="187"/>
      <c r="I151" s="187"/>
      <c r="J151" s="371"/>
      <c r="K151" s="381"/>
      <c r="L151" s="381"/>
      <c r="M151" s="371"/>
      <c r="N151" s="615">
        <v>15000</v>
      </c>
      <c r="O151" s="615">
        <v>15000</v>
      </c>
      <c r="P151" s="371"/>
      <c r="Q151" s="371"/>
      <c r="R151" s="5">
        <f>SUM(K151:Q151)</f>
        <v>30000</v>
      </c>
      <c r="Y151" s="4"/>
      <c r="Z151" s="4"/>
      <c r="AA151" s="4"/>
      <c r="AB151" s="4"/>
    </row>
    <row r="152" spans="1:28" ht="13.5" outlineLevel="1">
      <c r="A152" s="186" t="s">
        <v>433</v>
      </c>
      <c r="B152" s="186"/>
      <c r="C152" s="5"/>
      <c r="D152" s="5"/>
      <c r="E152" s="187"/>
      <c r="F152" s="187"/>
      <c r="G152" s="187"/>
      <c r="H152" s="187"/>
      <c r="I152" s="187"/>
      <c r="J152" s="371"/>
      <c r="K152" s="381"/>
      <c r="L152" s="381"/>
      <c r="M152" s="371"/>
      <c r="N152" s="615">
        <f>+N150/10</f>
        <v>15000</v>
      </c>
      <c r="O152" s="615">
        <f>+O150/10</f>
        <v>9000</v>
      </c>
      <c r="P152" s="615">
        <f>+P150/10</f>
        <v>8000</v>
      </c>
      <c r="Q152" s="615">
        <f>+Q150/10</f>
        <v>8000</v>
      </c>
      <c r="Y152" s="4"/>
      <c r="Z152" s="4"/>
      <c r="AA152" s="4"/>
      <c r="AB152" s="4"/>
    </row>
    <row r="153" spans="1:28" ht="13.5" outlineLevel="1">
      <c r="A153" s="186" t="s">
        <v>435</v>
      </c>
      <c r="B153" s="186"/>
      <c r="C153" s="5"/>
      <c r="D153" s="5"/>
      <c r="E153" s="187"/>
      <c r="F153" s="187"/>
      <c r="G153" s="187"/>
      <c r="H153" s="187"/>
      <c r="I153" s="187"/>
      <c r="K153" s="7"/>
      <c r="L153" s="7"/>
      <c r="N153" s="615">
        <f>+N151/10</f>
        <v>1500</v>
      </c>
      <c r="O153" s="615">
        <f>+O151/10</f>
        <v>1500</v>
      </c>
      <c r="P153" s="4"/>
      <c r="Q153" s="4"/>
      <c r="Y153" s="4"/>
      <c r="Z153" s="4"/>
      <c r="AA153" s="4"/>
      <c r="AB153" s="4"/>
    </row>
    <row r="154" spans="1:28" ht="13.5" outlineLevel="1">
      <c r="A154" s="186"/>
      <c r="B154" s="186"/>
      <c r="C154" s="5"/>
      <c r="D154" s="5"/>
      <c r="E154" s="172"/>
      <c r="F154" s="172"/>
      <c r="G154" s="172"/>
      <c r="H154" s="172"/>
      <c r="I154" s="172"/>
      <c r="K154" s="7"/>
      <c r="L154" s="7"/>
      <c r="N154" s="4"/>
      <c r="O154" s="4"/>
      <c r="P154" s="4"/>
      <c r="Q154" s="4"/>
      <c r="Y154" s="4"/>
      <c r="Z154" s="4"/>
      <c r="AA154" s="4"/>
      <c r="AB154" s="4"/>
    </row>
    <row r="155" spans="1:2" ht="13.5" outlineLevel="1">
      <c r="A155" s="186"/>
      <c r="B155" s="186"/>
    </row>
    <row r="156" spans="1:28" ht="13.5" outlineLevel="1">
      <c r="A156" s="186"/>
      <c r="B156" s="186"/>
      <c r="E156" s="5"/>
      <c r="N156" s="4"/>
      <c r="O156" s="4"/>
      <c r="P156" s="4"/>
      <c r="Q156" s="4"/>
      <c r="Y156" s="4"/>
      <c r="Z156" s="4"/>
      <c r="AA156" s="4"/>
      <c r="AB156" s="4"/>
    </row>
    <row r="157" spans="5:28" ht="13.5" outlineLevel="1">
      <c r="E157" s="4"/>
      <c r="F157" s="4"/>
      <c r="G157" s="4"/>
      <c r="N157" s="4"/>
      <c r="O157" s="4"/>
      <c r="P157" s="4"/>
      <c r="Q157" s="4"/>
      <c r="Y157" s="4"/>
      <c r="Z157" s="4"/>
      <c r="AA157" s="4"/>
      <c r="AB157" s="4"/>
    </row>
    <row r="158" spans="1:28" ht="14.25" outlineLevel="1">
      <c r="A158" s="238" t="s">
        <v>486</v>
      </c>
      <c r="B158" s="238"/>
      <c r="C158" s="5">
        <f>C80-C141</f>
        <v>35017</v>
      </c>
      <c r="D158" s="5">
        <f aca="true" t="shared" si="71" ref="D158:Q158">D80-D141</f>
        <v>24805</v>
      </c>
      <c r="E158" s="5">
        <f t="shared" si="71"/>
        <v>30080</v>
      </c>
      <c r="F158" s="5">
        <f t="shared" si="71"/>
        <v>500596</v>
      </c>
      <c r="G158" s="5">
        <f t="shared" si="71"/>
        <v>340139</v>
      </c>
      <c r="H158" s="5">
        <f t="shared" si="71"/>
        <v>253704</v>
      </c>
      <c r="I158" s="5">
        <f t="shared" si="71"/>
        <v>157031</v>
      </c>
      <c r="J158" s="5">
        <f t="shared" si="71"/>
        <v>332394</v>
      </c>
      <c r="K158" s="5">
        <f t="shared" si="71"/>
        <v>314775</v>
      </c>
      <c r="L158" s="5">
        <f t="shared" si="71"/>
        <v>275443</v>
      </c>
      <c r="M158" s="5">
        <f t="shared" si="71"/>
        <v>281542</v>
      </c>
      <c r="N158" s="5">
        <f t="shared" si="71"/>
        <v>287588</v>
      </c>
      <c r="O158" s="5">
        <f t="shared" si="71"/>
        <v>292812</v>
      </c>
      <c r="P158" s="5">
        <f t="shared" si="71"/>
        <v>297418</v>
      </c>
      <c r="Q158" s="5">
        <f t="shared" si="71"/>
        <v>302542</v>
      </c>
      <c r="S158" s="134"/>
      <c r="Y158" s="4"/>
      <c r="Z158" s="4"/>
      <c r="AA158" s="4"/>
      <c r="AB158" s="4"/>
    </row>
    <row r="159" spans="1:28" ht="14.25" outlineLevel="1">
      <c r="A159" s="238" t="s">
        <v>487</v>
      </c>
      <c r="B159" s="238"/>
      <c r="C159" s="5">
        <f>C75-C141</f>
        <v>-4628</v>
      </c>
      <c r="D159" s="5">
        <f aca="true" t="shared" si="72" ref="D159:Q159">D75-D141</f>
        <v>-14950</v>
      </c>
      <c r="E159" s="5">
        <f t="shared" si="72"/>
        <v>-28591</v>
      </c>
      <c r="F159" s="5">
        <f t="shared" si="72"/>
        <v>12092</v>
      </c>
      <c r="G159" s="5">
        <f t="shared" si="72"/>
        <v>-110855</v>
      </c>
      <c r="H159" s="5">
        <f t="shared" si="72"/>
        <v>-141151</v>
      </c>
      <c r="I159" s="5">
        <f t="shared" si="72"/>
        <v>-192669</v>
      </c>
      <c r="J159" s="5">
        <f t="shared" si="72"/>
        <v>-168558</v>
      </c>
      <c r="K159" s="5">
        <f t="shared" si="72"/>
        <v>-167260</v>
      </c>
      <c r="L159" s="5">
        <f t="shared" si="72"/>
        <v>-184377</v>
      </c>
      <c r="M159" s="5">
        <f t="shared" si="72"/>
        <v>-152687</v>
      </c>
      <c r="N159" s="5">
        <f t="shared" si="72"/>
        <v>-272741</v>
      </c>
      <c r="O159" s="5">
        <f t="shared" si="72"/>
        <v>-310151</v>
      </c>
      <c r="P159" s="5">
        <f t="shared" si="72"/>
        <v>-319742</v>
      </c>
      <c r="Q159" s="5">
        <f t="shared" si="72"/>
        <v>-295589</v>
      </c>
      <c r="R159" s="134"/>
      <c r="S159" s="134"/>
      <c r="Y159" s="4"/>
      <c r="Z159" s="4"/>
      <c r="AA159" s="4"/>
      <c r="AB159" s="4"/>
    </row>
    <row r="160" spans="1:28" ht="14.25" outlineLevel="1">
      <c r="A160" s="238" t="s">
        <v>498</v>
      </c>
      <c r="B160" s="238"/>
      <c r="C160" s="5">
        <f>C80-C141</f>
        <v>35017</v>
      </c>
      <c r="D160" s="5">
        <f aca="true" t="shared" si="73" ref="D160:Q160">D80-D141</f>
        <v>24805</v>
      </c>
      <c r="E160" s="5">
        <f t="shared" si="73"/>
        <v>30080</v>
      </c>
      <c r="F160" s="5">
        <f t="shared" si="73"/>
        <v>500596</v>
      </c>
      <c r="G160" s="5">
        <f t="shared" si="73"/>
        <v>340139</v>
      </c>
      <c r="H160" s="5">
        <f t="shared" si="73"/>
        <v>253704</v>
      </c>
      <c r="I160" s="5">
        <f t="shared" si="73"/>
        <v>157031</v>
      </c>
      <c r="J160" s="5">
        <f t="shared" si="73"/>
        <v>332394</v>
      </c>
      <c r="K160" s="5">
        <f t="shared" si="73"/>
        <v>314775</v>
      </c>
      <c r="L160" s="5">
        <f t="shared" si="73"/>
        <v>275443</v>
      </c>
      <c r="M160" s="5">
        <f t="shared" si="73"/>
        <v>281542</v>
      </c>
      <c r="N160" s="5">
        <f t="shared" si="73"/>
        <v>287588</v>
      </c>
      <c r="O160" s="5">
        <f t="shared" si="73"/>
        <v>292812</v>
      </c>
      <c r="P160" s="5">
        <f t="shared" si="73"/>
        <v>297418</v>
      </c>
      <c r="Q160" s="5">
        <f t="shared" si="73"/>
        <v>302542</v>
      </c>
      <c r="R160" s="134"/>
      <c r="Y160" s="4"/>
      <c r="Z160" s="4"/>
      <c r="AA160" s="4"/>
      <c r="AB160" s="4"/>
    </row>
    <row r="161" spans="1:28" ht="14.25" outlineLevel="1">
      <c r="A161" s="238" t="s">
        <v>488</v>
      </c>
      <c r="B161" s="303">
        <f>B75/B133</f>
        <v>0.9551826357835502</v>
      </c>
      <c r="C161" s="303">
        <f>C75/C133</f>
        <v>0.8933298895848131</v>
      </c>
      <c r="D161" s="303">
        <f aca="true" t="shared" si="74" ref="D161:Q161">D75/D133</f>
        <v>0.534073923087376</v>
      </c>
      <c r="E161" s="303">
        <f t="shared" si="74"/>
        <v>0.5564973066952297</v>
      </c>
      <c r="F161" s="303">
        <f t="shared" si="74"/>
        <v>1.3653354126562538</v>
      </c>
      <c r="G161" s="303">
        <f t="shared" si="74"/>
        <v>0.6724193877012006</v>
      </c>
      <c r="H161" s="303">
        <f t="shared" si="74"/>
        <v>0.5645422002435694</v>
      </c>
      <c r="I161" s="303">
        <f>I75/I141</f>
        <v>0.2156799687361338</v>
      </c>
      <c r="J161" s="303">
        <f t="shared" si="74"/>
        <v>0.3990135847050915</v>
      </c>
      <c r="K161" s="303">
        <f t="shared" si="74"/>
        <v>0.8256680293873682</v>
      </c>
      <c r="L161" s="303">
        <f t="shared" si="74"/>
        <v>1.068741478952258</v>
      </c>
      <c r="M161" s="303">
        <f t="shared" si="74"/>
        <v>1.6451249779610215</v>
      </c>
      <c r="N161" s="303">
        <f t="shared" si="74"/>
        <v>1.0772170198545596</v>
      </c>
      <c r="O161" s="303">
        <f t="shared" si="74"/>
        <v>0.984978727099071</v>
      </c>
      <c r="P161" s="303">
        <f t="shared" si="74"/>
        <v>0.9971853638922397</v>
      </c>
      <c r="Q161" s="303">
        <f t="shared" si="74"/>
        <v>1.7152624839948785</v>
      </c>
      <c r="Y161" s="4"/>
      <c r="Z161" s="4"/>
      <c r="AA161" s="4"/>
      <c r="AB161" s="4"/>
    </row>
    <row r="162" spans="1:28" ht="14.25" outlineLevel="1">
      <c r="A162" s="238" t="s">
        <v>489</v>
      </c>
      <c r="B162" s="303">
        <f>(B60+B72)/B133</f>
        <v>0.7226046324674672</v>
      </c>
      <c r="C162" s="303">
        <f>(C60+C72)/C133</f>
        <v>0.7330664428230128</v>
      </c>
      <c r="D162" s="303">
        <f aca="true" t="shared" si="75" ref="D162:Q162">(D60+D72)/D133</f>
        <v>0.37308058160076096</v>
      </c>
      <c r="E162" s="303">
        <f t="shared" si="75"/>
        <v>0.48361508250671387</v>
      </c>
      <c r="F162" s="303">
        <f t="shared" si="75"/>
        <v>0.9682984478179293</v>
      </c>
      <c r="G162" s="303">
        <f t="shared" si="75"/>
        <v>0.5300074707396032</v>
      </c>
      <c r="H162" s="303">
        <f t="shared" si="75"/>
        <v>0.4072701775104255</v>
      </c>
      <c r="I162" s="303">
        <f>(I60+I72)/I141</f>
        <v>0.126602374914004</v>
      </c>
      <c r="J162" s="303">
        <f t="shared" si="75"/>
        <v>0.22797761415685722</v>
      </c>
      <c r="K162" s="303">
        <f t="shared" si="75"/>
        <v>0.6636079511790497</v>
      </c>
      <c r="L162" s="303">
        <f t="shared" si="75"/>
        <v>0.9367361220033059</v>
      </c>
      <c r="M162" s="303">
        <f t="shared" si="75"/>
        <v>1.4967382311854935</v>
      </c>
      <c r="N162" s="303">
        <f t="shared" si="75"/>
        <v>0.9000879034660119</v>
      </c>
      <c r="O162" s="303">
        <f t="shared" si="75"/>
        <v>0.7559086567682556</v>
      </c>
      <c r="P162" s="303">
        <f t="shared" si="75"/>
        <v>0.7169383357561886</v>
      </c>
      <c r="Q162" s="303">
        <f t="shared" si="75"/>
        <v>0.9986939820742637</v>
      </c>
      <c r="R162" s="134"/>
      <c r="Y162" s="4"/>
      <c r="Z162" s="4"/>
      <c r="AA162" s="4"/>
      <c r="AB162" s="4"/>
    </row>
    <row r="163" spans="1:28" ht="14.25" outlineLevel="1">
      <c r="A163" s="238" t="s">
        <v>490</v>
      </c>
      <c r="B163" s="303">
        <f>B72/B133</f>
        <v>0.08667035120333617</v>
      </c>
      <c r="C163" s="303">
        <f>C72/C133</f>
        <v>0.01998450313165881</v>
      </c>
      <c r="D163" s="303">
        <f aca="true" t="shared" si="76" ref="D163:Q163">D72/D133</f>
        <v>0.01355483081940481</v>
      </c>
      <c r="E163" s="303">
        <f t="shared" si="76"/>
        <v>0.17913969481053726</v>
      </c>
      <c r="F163" s="303">
        <f t="shared" si="76"/>
        <v>0.28835985282292453</v>
      </c>
      <c r="G163" s="303">
        <f t="shared" si="76"/>
        <v>0.17484549152184248</v>
      </c>
      <c r="H163" s="303">
        <f t="shared" si="76"/>
        <v>0.08555190611506809</v>
      </c>
      <c r="I163" s="303">
        <f t="shared" si="76"/>
        <v>0.04254702756799821</v>
      </c>
      <c r="J163" s="303">
        <f t="shared" si="76"/>
        <v>0.03539995935531273</v>
      </c>
      <c r="K163" s="303">
        <f t="shared" si="76"/>
        <v>0.022470079393293044</v>
      </c>
      <c r="L163" s="303">
        <f t="shared" si="76"/>
        <v>0.03444614697827057</v>
      </c>
      <c r="M163" s="303">
        <f t="shared" si="76"/>
        <v>0.055260195570504385</v>
      </c>
      <c r="N163" s="303">
        <f t="shared" si="76"/>
        <v>0.09683184284894407</v>
      </c>
      <c r="O163" s="303">
        <f t="shared" si="76"/>
        <v>0.1605365980724147</v>
      </c>
      <c r="P163" s="303">
        <f t="shared" si="76"/>
        <v>0.24712092625240997</v>
      </c>
      <c r="Q163" s="303">
        <f t="shared" si="76"/>
        <v>0.395134443021767</v>
      </c>
      <c r="R163" s="134"/>
      <c r="Y163" s="4"/>
      <c r="Z163" s="4"/>
      <c r="AA163" s="4"/>
      <c r="AB163" s="4"/>
    </row>
    <row r="164" spans="1:28" ht="14.25" outlineLevel="1">
      <c r="A164" s="238" t="s">
        <v>491</v>
      </c>
      <c r="B164" s="238"/>
      <c r="C164" s="303"/>
      <c r="D164" s="303">
        <f aca="true" t="shared" si="77" ref="D164:Q164">D103/D118</f>
        <v>4.397084421235857</v>
      </c>
      <c r="E164" s="303">
        <f t="shared" si="77"/>
        <v>0.1771151287469672</v>
      </c>
      <c r="F164" s="303">
        <f t="shared" si="77"/>
        <v>8.543159981698947</v>
      </c>
      <c r="G164" s="303">
        <f t="shared" si="77"/>
        <v>2.4592634779867177</v>
      </c>
      <c r="H164" s="303">
        <f t="shared" si="77"/>
        <v>0.8293279110515045</v>
      </c>
      <c r="I164" s="303">
        <f t="shared" si="77"/>
        <v>0.6735870573063765</v>
      </c>
      <c r="J164" s="303">
        <f t="shared" si="77"/>
        <v>3.7825098558314867</v>
      </c>
      <c r="K164" s="303">
        <f t="shared" si="77"/>
        <v>5.969445366987712</v>
      </c>
      <c r="L164" s="303">
        <f t="shared" si="77"/>
        <v>167.7763480392157</v>
      </c>
      <c r="M164" s="303">
        <f t="shared" si="77"/>
        <v>195.88251748251747</v>
      </c>
      <c r="N164" s="303">
        <f t="shared" si="77"/>
        <v>233.19218241042344</v>
      </c>
      <c r="O164" s="303">
        <f t="shared" si="77"/>
        <v>284.39181286549706</v>
      </c>
      <c r="P164" s="303">
        <f t="shared" si="77"/>
        <v>359.94417475728153</v>
      </c>
      <c r="Q164" s="303">
        <f t="shared" si="77"/>
        <v>485.4019292604502</v>
      </c>
      <c r="Y164" s="4"/>
      <c r="Z164" s="4"/>
      <c r="AA164" s="4"/>
      <c r="AB164" s="4"/>
    </row>
    <row r="165" spans="1:17" ht="14.25" outlineLevel="1">
      <c r="A165" s="238" t="s">
        <v>492</v>
      </c>
      <c r="B165" s="238"/>
      <c r="C165" s="303">
        <f>C118/C103</f>
        <v>0</v>
      </c>
      <c r="D165" s="303">
        <f aca="true" t="shared" si="78" ref="D165:Q165">D118/D103</f>
        <v>0.22742342520659112</v>
      </c>
      <c r="E165" s="303">
        <f t="shared" si="78"/>
        <v>5.646045072912064</v>
      </c>
      <c r="F165" s="303">
        <f t="shared" si="78"/>
        <v>0.1170527067434284</v>
      </c>
      <c r="G165" s="303">
        <f t="shared" si="78"/>
        <v>0.4066258084793145</v>
      </c>
      <c r="H165" s="303">
        <f t="shared" si="78"/>
        <v>1.2057956649886539</v>
      </c>
      <c r="I165" s="303">
        <f t="shared" si="78"/>
        <v>1.4845890952817948</v>
      </c>
      <c r="J165" s="303">
        <f t="shared" si="78"/>
        <v>0.2643747242213533</v>
      </c>
      <c r="K165" s="303">
        <f t="shared" si="78"/>
        <v>0.1675197507510849</v>
      </c>
      <c r="L165" s="303">
        <f t="shared" si="78"/>
        <v>0.0059603156922110505</v>
      </c>
      <c r="M165" s="303">
        <f t="shared" si="78"/>
        <v>0.005105100816816131</v>
      </c>
      <c r="N165" s="303">
        <f t="shared" si="78"/>
        <v>0.0042883084229641015</v>
      </c>
      <c r="O165" s="303">
        <f t="shared" si="78"/>
        <v>0.0035162756266578932</v>
      </c>
      <c r="P165" s="303">
        <f t="shared" si="78"/>
        <v>0.00277820859491426</v>
      </c>
      <c r="Q165" s="303">
        <f t="shared" si="78"/>
        <v>0.0020601483836777956</v>
      </c>
    </row>
    <row r="166" spans="1:17" ht="14.25" outlineLevel="1">
      <c r="A166" s="238" t="s">
        <v>493</v>
      </c>
      <c r="B166" s="238"/>
      <c r="C166" s="303">
        <f>C118/C80</f>
        <v>0</v>
      </c>
      <c r="D166" s="303">
        <f aca="true" t="shared" si="79" ref="D166:Q166">D118/D80</f>
        <v>0.08284663638330089</v>
      </c>
      <c r="E166" s="303">
        <f t="shared" si="79"/>
        <v>0.27035548032162504</v>
      </c>
      <c r="F166" s="303">
        <f t="shared" si="79"/>
        <v>0.09633155567308681</v>
      </c>
      <c r="G166" s="303">
        <f t="shared" si="79"/>
        <v>0.1820529863858797</v>
      </c>
      <c r="H166" s="303">
        <f t="shared" si="79"/>
        <v>0.2942385783571165</v>
      </c>
      <c r="I166" s="303">
        <f t="shared" si="79"/>
        <v>0.2330101668313955</v>
      </c>
      <c r="J166" s="303">
        <f t="shared" si="79"/>
        <v>0.1259091921934924</v>
      </c>
      <c r="K166" s="303">
        <f t="shared" si="79"/>
        <v>0.07609684593610999</v>
      </c>
      <c r="L166" s="303">
        <f t="shared" si="79"/>
        <v>0.0025620858392950497</v>
      </c>
      <c r="M166" s="303">
        <f t="shared" si="79"/>
        <v>0.002112793630296574</v>
      </c>
      <c r="N166" s="303">
        <f t="shared" si="79"/>
        <v>0.0017329726266530625</v>
      </c>
      <c r="O166" s="303">
        <f t="shared" si="79"/>
        <v>0.001432154806721915</v>
      </c>
      <c r="P166" s="303">
        <f t="shared" si="79"/>
        <v>0.0011542556171905641</v>
      </c>
      <c r="Q166" s="303">
        <f t="shared" si="79"/>
        <v>0.0009351808417228978</v>
      </c>
    </row>
    <row r="167" spans="1:17" ht="14.25" outlineLevel="1">
      <c r="A167" s="238" t="s">
        <v>494</v>
      </c>
      <c r="B167" s="238"/>
      <c r="G167" s="303">
        <f>(OPR!G7+OPR!G13+OPR!G58+OPR!G59)/balans!G41</f>
        <v>0.2283530005763895</v>
      </c>
      <c r="H167" s="303">
        <f>(OPR!H7+OPR!H13+OPR!H58+OPR!H59)/balans!H41</f>
        <v>0.2134848956711305</v>
      </c>
      <c r="I167" s="303">
        <f>(OPR!I7+OPR!I13+OPR!I58+OPR!I59)/balans!I41</f>
        <v>0.22399164637888558</v>
      </c>
      <c r="J167" s="303">
        <f>(OPR!J7+OPR!J13+OPR!J58+OPR!J59)/balans!J41</f>
        <v>0.1586348991526194</v>
      </c>
      <c r="K167" s="303">
        <f>(OPR!K7+OPR!K13+OPR!K58+OPR!K59)/balans!K41</f>
        <v>0.17752445361851318</v>
      </c>
      <c r="L167" s="303">
        <f>(OPR!L7+OPR!L13+OPR!L58+OPR!L59)/balans!L41</f>
        <v>0.1839197947022748</v>
      </c>
      <c r="M167" s="303">
        <f>(OPR!M7+OPR!M13+OPR!M58+OPR!M59)/balans!M41</f>
        <v>0.20322456583968368</v>
      </c>
      <c r="N167" s="303">
        <f>(OPR!N7+OPR!N13+OPR!N58+OPR!N59)/balans!N41</f>
        <v>0.16521543593139032</v>
      </c>
      <c r="O167" s="303">
        <f>(OPR!O7+OPR!O13+OPR!O58+OPR!O59)/balans!O41</f>
        <v>0.1585088968974879</v>
      </c>
      <c r="P167" s="303">
        <f>(OPR!P7+OPR!P13+OPR!P58+OPR!P59)/balans!P41</f>
        <v>0.16107006286862402</v>
      </c>
      <c r="Q167" s="303">
        <f>(OPR!Q7+OPR!Q13+OPR!Q58+OPR!Q59)/balans!Q41</f>
        <v>0.17439992242502061</v>
      </c>
    </row>
    <row r="168" spans="1:17" ht="14.25" outlineLevel="1">
      <c r="A168" s="238" t="s">
        <v>495</v>
      </c>
      <c r="B168" s="238"/>
      <c r="G168" s="303">
        <f>(OPR!G7+OPR!G13+OPR!G58+OPR!G59)/balans!G15</f>
        <v>0.2284867397485649</v>
      </c>
      <c r="H168" s="303">
        <f>(OPR!H7+OPR!H13+OPR!H58+OPR!H59)/balans!H15</f>
        <v>0.2136250431050998</v>
      </c>
      <c r="I168" s="303">
        <f>(OPR!I7+OPR!I13+OPR!I58+OPR!I59)/balans!I15</f>
        <v>0.23362042028559032</v>
      </c>
      <c r="J168" s="303">
        <f>(OPR!J7+OPR!J13+OPR!J58+OPR!J59)/balans!J15</f>
        <v>0.16282174882081585</v>
      </c>
      <c r="K168" s="303">
        <f>(OPR!K7+OPR!K13+OPR!K58+OPR!K59)/balans!K15</f>
        <v>0.18216904916497248</v>
      </c>
      <c r="L168" s="303">
        <f>(OPR!L7+OPR!L13+OPR!L58+OPR!L59)/balans!L15</f>
        <v>0.188784963278791</v>
      </c>
      <c r="M168" s="303">
        <f>(OPR!M7+OPR!M13+OPR!M58+OPR!M59)/balans!M15</f>
        <v>0.20870869095286634</v>
      </c>
      <c r="N168" s="303">
        <f>(OPR!N7+OPR!N13+OPR!N58+OPR!N59)/balans!N15</f>
        <v>0.16836134354443594</v>
      </c>
      <c r="O168" s="303">
        <f>(OPR!O7+OPR!O13+OPR!O58+OPR!O59)/balans!O15</f>
        <v>0.16105440715295577</v>
      </c>
      <c r="P168" s="303">
        <f>(OPR!P7+OPR!P13+OPR!P58+OPR!P59)/balans!P15</f>
        <v>0.16334357592388715</v>
      </c>
      <c r="Q168" s="303">
        <f>(OPR!Q7+OPR!Q13+OPR!Q58+OPR!Q59)/balans!Q15</f>
        <v>0.17665936753257092</v>
      </c>
    </row>
    <row r="169" spans="1:17" ht="14.25" outlineLevel="1">
      <c r="A169" s="238" t="s">
        <v>496</v>
      </c>
      <c r="B169" s="238"/>
      <c r="G169" s="303">
        <f>G101/G103</f>
        <v>0.006728367492101302</v>
      </c>
      <c r="H169" s="303">
        <f aca="true" t="shared" si="80" ref="H169:Q169">H101/H103</f>
        <v>-0.1074971525948338</v>
      </c>
      <c r="I169" s="303">
        <f t="shared" si="80"/>
        <v>-0.24155881143001803</v>
      </c>
      <c r="J169" s="303">
        <f t="shared" si="80"/>
        <v>0.0026208481049252164</v>
      </c>
      <c r="K169" s="303">
        <f t="shared" si="80"/>
        <v>0.024917473387485626</v>
      </c>
      <c r="L169" s="303">
        <f t="shared" si="80"/>
        <v>0.015342699891531019</v>
      </c>
      <c r="M169" s="303">
        <f t="shared" si="80"/>
        <v>0.022494573599131776</v>
      </c>
      <c r="N169" s="303">
        <f t="shared" si="80"/>
        <v>0.021818689761139824</v>
      </c>
      <c r="O169" s="303">
        <f t="shared" si="80"/>
        <v>0.01859582022441104</v>
      </c>
      <c r="P169" s="303">
        <f t="shared" si="80"/>
        <v>0.01621071228682981</v>
      </c>
      <c r="Q169" s="303">
        <f t="shared" si="80"/>
        <v>0.01764043455219926</v>
      </c>
    </row>
    <row r="170" spans="1:17" ht="14.25" outlineLevel="1">
      <c r="A170" s="238" t="s">
        <v>497</v>
      </c>
      <c r="B170" s="238"/>
      <c r="G170" s="303">
        <f>(OPR!G68+OPR!G62)/balans!G80</f>
        <v>0.024486160921753524</v>
      </c>
      <c r="H170" s="303">
        <f>(OPR!H68+OPR!H62)/balans!H80</f>
        <v>-6.364805173313645E-05</v>
      </c>
      <c r="I170" s="303">
        <f>(OPR!I68+OPR!I62)/balans!I80</f>
        <v>-0.025136460035462226</v>
      </c>
      <c r="J170" s="303">
        <f>(OPR!J68+OPR!J62)/balans!J80</f>
        <v>0.007679333914250156</v>
      </c>
      <c r="K170" s="303">
        <f>(OPR!K68+OPR!K62)/balans!K80</f>
        <v>0.01637350047176169</v>
      </c>
      <c r="L170" s="303">
        <f>(OPR!L68+OPR!L62)/balans!L80</f>
        <v>0.01083391812314653</v>
      </c>
      <c r="M170" s="303">
        <f>(OPR!M68+OPR!M62)/balans!M80</f>
        <v>0.012855536627419924</v>
      </c>
      <c r="N170" s="303">
        <f>(OPR!N68+OPR!N62)/balans!N80</f>
        <v>0.01163970539465347</v>
      </c>
      <c r="O170" s="303">
        <f>(OPR!O68+OPR!O62)/balans!O80</f>
        <v>0.01008650159198105</v>
      </c>
      <c r="P170" s="303">
        <f>(OPR!P68+OPR!P62)/balans!P80</f>
        <v>0.00883621897237631</v>
      </c>
      <c r="Q170" s="303">
        <f>(OPR!Q68+OPR!Q62)/balans!Q80</f>
        <v>0.009962231924848748</v>
      </c>
    </row>
    <row r="171" ht="13.5" outlineLevel="1"/>
    <row r="172" ht="13.5" outlineLevel="1"/>
    <row r="173" spans="2:11" ht="13.5">
      <c r="B173" s="5"/>
      <c r="C173" s="5"/>
      <c r="D173" s="5"/>
      <c r="E173" s="5"/>
      <c r="F173" s="5"/>
      <c r="G173" s="5"/>
      <c r="H173" s="5"/>
      <c r="I173" s="5"/>
      <c r="J173" s="5"/>
      <c r="K173" s="367"/>
    </row>
    <row r="174" spans="2:17" ht="13.5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</sheetData>
  <sheetProtection/>
  <mergeCells count="2">
    <mergeCell ref="K2:L2"/>
    <mergeCell ref="O2:Q2"/>
  </mergeCells>
  <printOptions/>
  <pageMargins left="0.7480314960629921" right="0.1968503937007874" top="0.1968503937007874" bottom="0.31496062992125984" header="0.2362204724409449" footer="0.31496062992125984"/>
  <pageSetup horizontalDpi="600" verticalDpi="600" orientation="landscape" paperSize="9" scale="55" r:id="rId3"/>
  <rowBreaks count="1" manualBreakCount="1"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0"/>
  <sheetViews>
    <sheetView zoomScalePageLayoutView="0" workbookViewId="0" topLeftCell="A7">
      <selection activeCell="J15" sqref="J15"/>
    </sheetView>
  </sheetViews>
  <sheetFormatPr defaultColWidth="9.140625" defaultRowHeight="12.75" outlineLevelRow="1" outlineLevelCol="1"/>
  <cols>
    <col min="1" max="1" width="54.140625" style="61" customWidth="1"/>
    <col min="2" max="2" width="8.7109375" style="61" customWidth="1" outlineLevel="1"/>
    <col min="3" max="9" width="9.00390625" style="61" customWidth="1" outlineLevel="1"/>
    <col min="10" max="17" width="9.00390625" style="61" customWidth="1"/>
    <col min="18" max="18" width="9.8515625" style="61" customWidth="1"/>
    <col min="19" max="19" width="31.00390625" style="61" customWidth="1" outlineLevel="1"/>
    <col min="20" max="21" width="10.421875" style="61" customWidth="1" outlineLevel="1"/>
    <col min="22" max="22" width="9.140625" style="61" customWidth="1" outlineLevel="1"/>
    <col min="23" max="23" width="9.7109375" style="61" customWidth="1" outlineLevel="1"/>
    <col min="24" max="34" width="9.140625" style="61" customWidth="1" outlineLevel="1"/>
    <col min="35" max="47" width="9.140625" style="61" customWidth="1"/>
    <col min="48" max="16384" width="9.140625" style="61" customWidth="1"/>
  </cols>
  <sheetData>
    <row r="1" spans="1:25" ht="13.5">
      <c r="A1" s="48" t="s">
        <v>42</v>
      </c>
      <c r="B1" s="48"/>
      <c r="C1" s="48"/>
      <c r="D1" s="48"/>
      <c r="E1" s="48"/>
      <c r="F1" s="48"/>
      <c r="H1" s="657"/>
      <c r="J1" s="657"/>
      <c r="K1" s="657"/>
      <c r="L1" s="657"/>
      <c r="O1" s="784" t="s">
        <v>645</v>
      </c>
      <c r="P1" s="784"/>
      <c r="Q1" s="784"/>
      <c r="R1" s="48"/>
      <c r="S1" s="44"/>
      <c r="T1" s="44"/>
      <c r="U1" s="44"/>
      <c r="V1" s="44"/>
      <c r="W1" s="44"/>
      <c r="X1" s="44"/>
      <c r="Y1" s="44"/>
    </row>
    <row r="2" spans="1:18" ht="13.5">
      <c r="A2" s="657" t="s">
        <v>342</v>
      </c>
      <c r="B2" s="657"/>
      <c r="C2" s="657"/>
      <c r="D2" s="657"/>
      <c r="E2" s="657"/>
      <c r="F2" s="657"/>
      <c r="H2" s="657"/>
      <c r="J2" s="666"/>
      <c r="L2" s="657"/>
      <c r="P2" s="657" t="s">
        <v>639</v>
      </c>
      <c r="Q2" s="657"/>
      <c r="R2" s="48"/>
    </row>
    <row r="3" spans="1:18" ht="2.25" customHeight="1">
      <c r="A3" s="44"/>
      <c r="B3" s="44"/>
      <c r="C3" s="44"/>
      <c r="D3" s="44"/>
      <c r="E3" s="44"/>
      <c r="F3" s="44"/>
      <c r="R3" s="48"/>
    </row>
    <row r="4" spans="1:18" ht="13.5">
      <c r="A4" s="662"/>
      <c r="B4" s="662"/>
      <c r="C4" s="662"/>
      <c r="D4" s="662"/>
      <c r="E4" s="662"/>
      <c r="F4" s="662"/>
      <c r="G4" s="662"/>
      <c r="H4" s="662"/>
      <c r="I4" s="663" t="s">
        <v>499</v>
      </c>
      <c r="J4" s="663"/>
      <c r="K4" s="662"/>
      <c r="L4" s="662"/>
      <c r="M4" s="662"/>
      <c r="N4" s="662"/>
      <c r="O4" s="662"/>
      <c r="P4" s="662"/>
      <c r="Q4" s="662"/>
      <c r="R4" s="48"/>
    </row>
    <row r="5" spans="1:18" ht="13.5">
      <c r="A5" s="667" t="s">
        <v>638</v>
      </c>
      <c r="B5" s="662" t="s">
        <v>3</v>
      </c>
      <c r="C5" s="662" t="s">
        <v>3</v>
      </c>
      <c r="D5" s="662" t="s">
        <v>3</v>
      </c>
      <c r="E5" s="662" t="s">
        <v>3</v>
      </c>
      <c r="F5" s="662" t="s">
        <v>3</v>
      </c>
      <c r="G5" s="662" t="s">
        <v>3</v>
      </c>
      <c r="H5" s="662" t="s">
        <v>3</v>
      </c>
      <c r="I5" s="662" t="s">
        <v>3</v>
      </c>
      <c r="J5" s="662" t="s">
        <v>111</v>
      </c>
      <c r="K5" s="662" t="s">
        <v>2</v>
      </c>
      <c r="L5" s="662" t="s">
        <v>2</v>
      </c>
      <c r="M5" s="662" t="s">
        <v>2</v>
      </c>
      <c r="N5" s="662" t="s">
        <v>2</v>
      </c>
      <c r="O5" s="662" t="s">
        <v>2</v>
      </c>
      <c r="P5" s="662" t="s">
        <v>2</v>
      </c>
      <c r="Q5" s="662" t="s">
        <v>2</v>
      </c>
      <c r="R5" s="48"/>
    </row>
    <row r="6" spans="1:18" ht="14.25" thickBot="1">
      <c r="A6" s="668"/>
      <c r="B6" s="664" t="s">
        <v>547</v>
      </c>
      <c r="C6" s="664" t="s">
        <v>12</v>
      </c>
      <c r="D6" s="664" t="s">
        <v>41</v>
      </c>
      <c r="E6" s="664" t="s">
        <v>548</v>
      </c>
      <c r="F6" s="664" t="s">
        <v>51</v>
      </c>
      <c r="G6" s="664" t="s">
        <v>52</v>
      </c>
      <c r="H6" s="664" t="s">
        <v>53</v>
      </c>
      <c r="I6" s="664" t="s">
        <v>54</v>
      </c>
      <c r="J6" s="664" t="s">
        <v>96</v>
      </c>
      <c r="K6" s="664" t="s">
        <v>97</v>
      </c>
      <c r="L6" s="664" t="s">
        <v>112</v>
      </c>
      <c r="M6" s="664" t="s">
        <v>337</v>
      </c>
      <c r="N6" s="664" t="s">
        <v>338</v>
      </c>
      <c r="O6" s="664" t="s">
        <v>339</v>
      </c>
      <c r="P6" s="664" t="s">
        <v>340</v>
      </c>
      <c r="Q6" s="664" t="s">
        <v>341</v>
      </c>
      <c r="R6" s="48"/>
    </row>
    <row r="7" spans="1:18" ht="14.25" thickTop="1">
      <c r="A7" s="48" t="s">
        <v>5</v>
      </c>
      <c r="B7" s="48">
        <v>0</v>
      </c>
      <c r="C7" s="48">
        <v>50</v>
      </c>
      <c r="D7" s="48">
        <v>0</v>
      </c>
      <c r="E7" s="48">
        <v>75247</v>
      </c>
      <c r="F7" s="48">
        <v>81591</v>
      </c>
      <c r="G7" s="48">
        <v>79692</v>
      </c>
      <c r="H7" s="48">
        <v>75707</v>
      </c>
      <c r="I7" s="48">
        <v>70196</v>
      </c>
      <c r="J7" s="48">
        <v>69805</v>
      </c>
      <c r="K7" s="48">
        <v>74006</v>
      </c>
      <c r="L7" s="48">
        <v>75703</v>
      </c>
      <c r="M7" s="48">
        <v>78066</v>
      </c>
      <c r="N7" s="48">
        <v>82403</v>
      </c>
      <c r="O7" s="48">
        <v>87139</v>
      </c>
      <c r="P7" s="48">
        <v>91843</v>
      </c>
      <c r="Q7" s="48">
        <v>97265</v>
      </c>
      <c r="R7" s="44"/>
    </row>
    <row r="8" spans="1:18" ht="13.5">
      <c r="A8" s="44" t="s">
        <v>20</v>
      </c>
      <c r="B8" s="44">
        <v>0</v>
      </c>
      <c r="C8" s="44">
        <v>50</v>
      </c>
      <c r="D8" s="44">
        <v>0</v>
      </c>
      <c r="E8" s="44">
        <v>75247</v>
      </c>
      <c r="F8" s="44">
        <v>81591</v>
      </c>
      <c r="G8" s="44">
        <v>77359</v>
      </c>
      <c r="H8" s="44">
        <v>73900</v>
      </c>
      <c r="I8" s="44">
        <v>68180</v>
      </c>
      <c r="J8" s="44">
        <v>68129</v>
      </c>
      <c r="K8" s="44">
        <v>73009</v>
      </c>
      <c r="L8" s="44">
        <v>74691</v>
      </c>
      <c r="M8" s="44">
        <v>77038</v>
      </c>
      <c r="N8" s="44">
        <v>81358</v>
      </c>
      <c r="O8" s="44">
        <v>86078</v>
      </c>
      <c r="P8" s="44">
        <v>90765</v>
      </c>
      <c r="Q8" s="44">
        <v>96170</v>
      </c>
      <c r="R8" s="44"/>
    </row>
    <row r="9" spans="1:18" ht="13.5">
      <c r="A9" s="669" t="s">
        <v>0</v>
      </c>
      <c r="B9" s="44"/>
      <c r="C9" s="44">
        <v>50</v>
      </c>
      <c r="D9" s="44"/>
      <c r="E9" s="44">
        <v>75247</v>
      </c>
      <c r="F9" s="44">
        <v>81591</v>
      </c>
      <c r="G9" s="44">
        <v>77359</v>
      </c>
      <c r="H9" s="44">
        <v>73900</v>
      </c>
      <c r="I9" s="44">
        <v>68180</v>
      </c>
      <c r="J9" s="44">
        <v>68129</v>
      </c>
      <c r="K9" s="44">
        <v>73009</v>
      </c>
      <c r="L9" s="44">
        <v>74691</v>
      </c>
      <c r="M9" s="44">
        <v>77038</v>
      </c>
      <c r="N9" s="44">
        <v>81358</v>
      </c>
      <c r="O9" s="44">
        <v>86078</v>
      </c>
      <c r="P9" s="44">
        <v>90765</v>
      </c>
      <c r="Q9" s="44">
        <v>96170</v>
      </c>
      <c r="R9" s="670"/>
    </row>
    <row r="10" spans="1:18" ht="13.5">
      <c r="A10" s="671" t="s">
        <v>21</v>
      </c>
      <c r="B10" s="44"/>
      <c r="C10" s="44"/>
      <c r="D10" s="44"/>
      <c r="E10" s="44">
        <v>17700</v>
      </c>
      <c r="F10" s="44">
        <v>17680</v>
      </c>
      <c r="G10" s="44">
        <v>17348</v>
      </c>
      <c r="H10" s="44">
        <v>16544</v>
      </c>
      <c r="I10" s="44">
        <v>14988</v>
      </c>
      <c r="J10" s="44">
        <v>16175</v>
      </c>
      <c r="K10" s="44">
        <v>16175</v>
      </c>
      <c r="L10" s="44">
        <v>16175</v>
      </c>
      <c r="M10" s="44">
        <v>16175</v>
      </c>
      <c r="N10" s="44">
        <v>16175</v>
      </c>
      <c r="O10" s="44">
        <v>18062</v>
      </c>
      <c r="P10" s="44">
        <v>18062</v>
      </c>
      <c r="Q10" s="44">
        <v>18062</v>
      </c>
      <c r="R10" s="670"/>
    </row>
    <row r="11" spans="1:18" ht="13.5">
      <c r="A11" s="44" t="s">
        <v>19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2333</v>
      </c>
      <c r="H11" s="44">
        <v>1807</v>
      </c>
      <c r="I11" s="44">
        <v>2016</v>
      </c>
      <c r="J11" s="44">
        <v>1676</v>
      </c>
      <c r="K11" s="44">
        <v>997</v>
      </c>
      <c r="L11" s="44">
        <v>1012</v>
      </c>
      <c r="M11" s="44">
        <v>1028</v>
      </c>
      <c r="N11" s="44">
        <v>1045</v>
      </c>
      <c r="O11" s="44">
        <v>1061</v>
      </c>
      <c r="P11" s="44">
        <v>1078</v>
      </c>
      <c r="Q11" s="44">
        <v>1095</v>
      </c>
      <c r="R11" s="44"/>
    </row>
    <row r="12" spans="1:18" ht="13.5">
      <c r="A12" s="672" t="s">
        <v>34</v>
      </c>
      <c r="B12" s="44"/>
      <c r="C12" s="44"/>
      <c r="D12" s="44"/>
      <c r="E12" s="44"/>
      <c r="F12" s="44"/>
      <c r="G12" s="44">
        <v>2333</v>
      </c>
      <c r="H12" s="44">
        <v>1807</v>
      </c>
      <c r="I12" s="44">
        <v>2016</v>
      </c>
      <c r="J12" s="44">
        <v>1676</v>
      </c>
      <c r="K12" s="44">
        <v>997</v>
      </c>
      <c r="L12" s="44">
        <v>1012</v>
      </c>
      <c r="M12" s="44">
        <v>1028</v>
      </c>
      <c r="N12" s="44">
        <v>1045</v>
      </c>
      <c r="O12" s="44">
        <v>1061</v>
      </c>
      <c r="P12" s="44">
        <v>1078</v>
      </c>
      <c r="Q12" s="44">
        <v>1095</v>
      </c>
      <c r="R12" s="44"/>
    </row>
    <row r="13" spans="1:19" ht="13.5">
      <c r="A13" s="673" t="s">
        <v>25</v>
      </c>
      <c r="B13" s="44">
        <v>102257</v>
      </c>
      <c r="C13" s="44">
        <v>187973</v>
      </c>
      <c r="D13" s="44">
        <v>205771</v>
      </c>
      <c r="E13" s="44">
        <v>22871</v>
      </c>
      <c r="F13" s="44">
        <v>30966</v>
      </c>
      <c r="G13" s="44">
        <v>14906</v>
      </c>
      <c r="H13" s="44">
        <v>7913</v>
      </c>
      <c r="I13" s="44">
        <v>5974</v>
      </c>
      <c r="J13" s="44">
        <v>4828</v>
      </c>
      <c r="K13" s="44">
        <v>4538</v>
      </c>
      <c r="L13" s="44">
        <v>4643</v>
      </c>
      <c r="M13" s="44">
        <v>4745</v>
      </c>
      <c r="N13" s="44">
        <v>4849</v>
      </c>
      <c r="O13" s="44">
        <v>4956</v>
      </c>
      <c r="P13" s="44">
        <v>5074</v>
      </c>
      <c r="Q13" s="44">
        <v>5176</v>
      </c>
      <c r="R13" s="44"/>
      <c r="S13" s="674"/>
    </row>
    <row r="14" spans="1:18" ht="13.5">
      <c r="A14" s="671" t="s">
        <v>18</v>
      </c>
      <c r="B14" s="44">
        <v>1332</v>
      </c>
      <c r="C14" s="44">
        <v>945</v>
      </c>
      <c r="D14" s="44">
        <v>1849</v>
      </c>
      <c r="E14" s="44">
        <v>1281</v>
      </c>
      <c r="F14" s="44">
        <v>5116</v>
      </c>
      <c r="G14" s="44">
        <v>4308</v>
      </c>
      <c r="H14" s="44">
        <v>1751</v>
      </c>
      <c r="I14" s="44">
        <v>2867</v>
      </c>
      <c r="J14" s="44">
        <v>2666</v>
      </c>
      <c r="K14" s="542">
        <v>2922</v>
      </c>
      <c r="L14" s="542">
        <v>2986</v>
      </c>
      <c r="M14" s="542">
        <v>3052</v>
      </c>
      <c r="N14" s="542">
        <v>3119</v>
      </c>
      <c r="O14" s="542">
        <v>3188</v>
      </c>
      <c r="P14" s="542">
        <v>3258</v>
      </c>
      <c r="Q14" s="542">
        <v>3330</v>
      </c>
      <c r="R14" s="44"/>
    </row>
    <row r="15" spans="1:19" ht="13.5">
      <c r="A15" s="671" t="s">
        <v>22</v>
      </c>
      <c r="B15" s="44">
        <v>100925</v>
      </c>
      <c r="C15" s="44">
        <v>187028</v>
      </c>
      <c r="D15" s="44">
        <v>203922</v>
      </c>
      <c r="E15" s="44">
        <v>21590</v>
      </c>
      <c r="F15" s="44">
        <v>25850</v>
      </c>
      <c r="G15" s="44">
        <v>10598</v>
      </c>
      <c r="H15" s="44">
        <v>6162</v>
      </c>
      <c r="I15" s="44">
        <v>3107</v>
      </c>
      <c r="J15" s="44">
        <v>2162</v>
      </c>
      <c r="K15" s="44">
        <v>1616</v>
      </c>
      <c r="L15" s="44">
        <v>1657</v>
      </c>
      <c r="M15" s="44">
        <v>1693</v>
      </c>
      <c r="N15" s="44">
        <v>1730</v>
      </c>
      <c r="O15" s="44">
        <v>1768</v>
      </c>
      <c r="P15" s="44">
        <v>1816</v>
      </c>
      <c r="Q15" s="44">
        <v>1846</v>
      </c>
      <c r="R15" s="44"/>
      <c r="S15" s="675"/>
    </row>
    <row r="16" spans="1:18" ht="13.5" outlineLevel="1">
      <c r="A16" s="672" t="s">
        <v>38</v>
      </c>
      <c r="B16" s="44"/>
      <c r="C16" s="44"/>
      <c r="D16" s="44"/>
      <c r="E16" s="44"/>
      <c r="F16" s="44"/>
      <c r="G16" s="44"/>
      <c r="H16" s="44"/>
      <c r="I16" s="44"/>
      <c r="J16" s="44">
        <v>0</v>
      </c>
      <c r="K16" s="44"/>
      <c r="L16" s="44"/>
      <c r="M16" s="44"/>
      <c r="N16" s="44"/>
      <c r="O16" s="44"/>
      <c r="P16" s="44"/>
      <c r="Q16" s="44"/>
      <c r="R16" s="44"/>
    </row>
    <row r="17" spans="1:18" ht="13.5" outlineLevel="1">
      <c r="A17" s="672" t="s">
        <v>33</v>
      </c>
      <c r="B17" s="44"/>
      <c r="C17" s="44"/>
      <c r="D17" s="44"/>
      <c r="E17" s="44"/>
      <c r="F17" s="44">
        <v>18795</v>
      </c>
      <c r="G17" s="44">
        <v>2775</v>
      </c>
      <c r="H17" s="44">
        <v>284</v>
      </c>
      <c r="I17" s="44">
        <v>396</v>
      </c>
      <c r="J17" s="44">
        <v>240</v>
      </c>
      <c r="K17" s="44"/>
      <c r="L17" s="44"/>
      <c r="M17" s="44"/>
      <c r="N17" s="44"/>
      <c r="O17" s="44"/>
      <c r="P17" s="44"/>
      <c r="Q17" s="44"/>
      <c r="R17" s="44"/>
    </row>
    <row r="18" spans="1:18" ht="13.5" outlineLevel="1">
      <c r="A18" s="672" t="s">
        <v>35</v>
      </c>
      <c r="B18" s="44">
        <v>941</v>
      </c>
      <c r="C18" s="44">
        <v>1970</v>
      </c>
      <c r="D18" s="44">
        <v>13963</v>
      </c>
      <c r="E18" s="44">
        <v>2157</v>
      </c>
      <c r="F18" s="44">
        <v>160</v>
      </c>
      <c r="G18" s="44">
        <v>233</v>
      </c>
      <c r="H18" s="44">
        <v>55</v>
      </c>
      <c r="I18" s="44"/>
      <c r="J18" s="44">
        <v>1047</v>
      </c>
      <c r="K18" s="44">
        <v>900</v>
      </c>
      <c r="L18" s="44">
        <v>950</v>
      </c>
      <c r="M18" s="44">
        <v>971</v>
      </c>
      <c r="N18" s="44">
        <v>992</v>
      </c>
      <c r="O18" s="44">
        <v>1014</v>
      </c>
      <c r="P18" s="44">
        <v>1036</v>
      </c>
      <c r="Q18" s="44">
        <v>1059</v>
      </c>
      <c r="R18" s="44"/>
    </row>
    <row r="19" spans="1:18" ht="13.5" outlineLevel="1">
      <c r="A19" s="672" t="s">
        <v>1</v>
      </c>
      <c r="B19" s="44">
        <v>99984</v>
      </c>
      <c r="C19" s="44">
        <v>185058</v>
      </c>
      <c r="D19" s="44">
        <v>189959</v>
      </c>
      <c r="E19" s="44">
        <v>19433</v>
      </c>
      <c r="F19" s="44">
        <v>6895</v>
      </c>
      <c r="G19" s="44">
        <v>7590</v>
      </c>
      <c r="H19" s="44">
        <v>5823</v>
      </c>
      <c r="I19" s="44">
        <v>2711</v>
      </c>
      <c r="J19" s="44">
        <v>875</v>
      </c>
      <c r="K19" s="44">
        <v>716</v>
      </c>
      <c r="L19" s="44">
        <v>707</v>
      </c>
      <c r="M19" s="44">
        <v>722</v>
      </c>
      <c r="N19" s="44">
        <v>738</v>
      </c>
      <c r="O19" s="44">
        <v>754</v>
      </c>
      <c r="P19" s="44">
        <v>780</v>
      </c>
      <c r="Q19" s="44">
        <v>787</v>
      </c>
      <c r="R19" s="44"/>
    </row>
    <row r="20" spans="1:18" ht="16.5" customHeight="1">
      <c r="A20" s="48" t="s">
        <v>24</v>
      </c>
      <c r="B20" s="48"/>
      <c r="C20" s="48"/>
      <c r="D20" s="48"/>
      <c r="E20" s="48">
        <v>160000</v>
      </c>
      <c r="F20" s="48">
        <v>170000</v>
      </c>
      <c r="G20" s="48">
        <v>170000</v>
      </c>
      <c r="H20" s="48">
        <v>170000</v>
      </c>
      <c r="I20" s="48">
        <v>171331</v>
      </c>
      <c r="J20" s="48">
        <v>180000</v>
      </c>
      <c r="K20" s="48">
        <v>176942</v>
      </c>
      <c r="L20" s="48">
        <v>178426</v>
      </c>
      <c r="M20" s="48">
        <v>181718</v>
      </c>
      <c r="N20" s="48">
        <v>181733</v>
      </c>
      <c r="O20" s="48">
        <v>181444</v>
      </c>
      <c r="P20" s="48">
        <v>177855</v>
      </c>
      <c r="Q20" s="48">
        <v>180806</v>
      </c>
      <c r="R20" s="44"/>
    </row>
    <row r="21" spans="1:18" ht="13.5">
      <c r="A21" s="676" t="s">
        <v>13</v>
      </c>
      <c r="B21" s="676">
        <v>102257</v>
      </c>
      <c r="C21" s="676">
        <v>188023</v>
      </c>
      <c r="D21" s="676">
        <v>205771</v>
      </c>
      <c r="E21" s="676">
        <v>258118</v>
      </c>
      <c r="F21" s="676">
        <v>282557</v>
      </c>
      <c r="G21" s="676">
        <v>264598</v>
      </c>
      <c r="H21" s="676">
        <v>253620</v>
      </c>
      <c r="I21" s="676">
        <v>247501</v>
      </c>
      <c r="J21" s="676">
        <v>254633</v>
      </c>
      <c r="K21" s="676">
        <v>255486</v>
      </c>
      <c r="L21" s="676">
        <v>258772</v>
      </c>
      <c r="M21" s="676">
        <v>264529</v>
      </c>
      <c r="N21" s="676">
        <v>268985</v>
      </c>
      <c r="O21" s="676">
        <v>273539</v>
      </c>
      <c r="P21" s="676">
        <v>274772</v>
      </c>
      <c r="Q21" s="676">
        <v>283247</v>
      </c>
      <c r="R21" s="44"/>
    </row>
    <row r="22" spans="1:18" ht="13.5">
      <c r="A22" s="44"/>
      <c r="B22" s="44"/>
      <c r="C22" s="44"/>
      <c r="D22" s="44"/>
      <c r="E22" s="44"/>
      <c r="F22" s="44"/>
      <c r="G22" s="44"/>
      <c r="H22" s="44"/>
      <c r="I22" s="617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3.5">
      <c r="A23" s="676" t="s">
        <v>6</v>
      </c>
      <c r="B23" s="676">
        <v>101540</v>
      </c>
      <c r="C23" s="676">
        <v>189502</v>
      </c>
      <c r="D23" s="676">
        <v>216004</v>
      </c>
      <c r="E23" s="676">
        <v>272410</v>
      </c>
      <c r="F23" s="676">
        <v>250618</v>
      </c>
      <c r="G23" s="676">
        <v>185779</v>
      </c>
      <c r="H23" s="48">
        <v>180789</v>
      </c>
      <c r="I23" s="48">
        <v>189626</v>
      </c>
      <c r="J23" s="48">
        <v>203536</v>
      </c>
      <c r="K23" s="48">
        <v>204789</v>
      </c>
      <c r="L23" s="48">
        <v>205490</v>
      </c>
      <c r="M23" s="48">
        <v>207922</v>
      </c>
      <c r="N23" s="48">
        <v>209595</v>
      </c>
      <c r="O23" s="48">
        <v>210287</v>
      </c>
      <c r="P23" s="48">
        <v>215643</v>
      </c>
      <c r="Q23" s="48">
        <v>220543</v>
      </c>
      <c r="R23" s="44"/>
    </row>
    <row r="24" spans="1:18" ht="13.5">
      <c r="A24" s="677" t="s">
        <v>26</v>
      </c>
      <c r="B24" s="44">
        <v>3114</v>
      </c>
      <c r="C24" s="44">
        <v>4208</v>
      </c>
      <c r="D24" s="44">
        <v>4049</v>
      </c>
      <c r="E24" s="44">
        <v>3817</v>
      </c>
      <c r="F24" s="44">
        <v>5979</v>
      </c>
      <c r="G24" s="44">
        <v>6585</v>
      </c>
      <c r="H24" s="44">
        <v>7427</v>
      </c>
      <c r="I24" s="44">
        <v>7180</v>
      </c>
      <c r="J24" s="44">
        <v>11450</v>
      </c>
      <c r="K24" s="44">
        <v>11602</v>
      </c>
      <c r="L24" s="44">
        <v>11857</v>
      </c>
      <c r="M24" s="44">
        <v>12118</v>
      </c>
      <c r="N24" s="44">
        <v>12385</v>
      </c>
      <c r="O24" s="44">
        <v>12657</v>
      </c>
      <c r="P24" s="44">
        <v>12935</v>
      </c>
      <c r="Q24" s="44">
        <v>13220</v>
      </c>
      <c r="R24" s="44"/>
    </row>
    <row r="25" spans="1:18" ht="13.5" outlineLevel="1">
      <c r="A25" s="671" t="s">
        <v>23</v>
      </c>
      <c r="B25" s="44">
        <v>3114</v>
      </c>
      <c r="C25" s="44">
        <v>4207</v>
      </c>
      <c r="D25" s="44">
        <v>4049</v>
      </c>
      <c r="E25" s="44">
        <v>3817</v>
      </c>
      <c r="F25" s="44">
        <v>5979</v>
      </c>
      <c r="G25" s="44">
        <v>6585</v>
      </c>
      <c r="H25" s="44">
        <v>7427</v>
      </c>
      <c r="I25" s="44">
        <v>7180</v>
      </c>
      <c r="J25" s="44">
        <v>10826</v>
      </c>
      <c r="K25" s="542">
        <v>11602</v>
      </c>
      <c r="L25" s="542">
        <v>11857</v>
      </c>
      <c r="M25" s="542">
        <v>12118</v>
      </c>
      <c r="N25" s="542">
        <v>12385</v>
      </c>
      <c r="O25" s="542">
        <v>12657</v>
      </c>
      <c r="P25" s="542">
        <v>12935</v>
      </c>
      <c r="Q25" s="542">
        <v>13220</v>
      </c>
      <c r="R25" s="44"/>
    </row>
    <row r="26" spans="1:18" ht="13.5" outlineLevel="1">
      <c r="A26" s="671" t="s">
        <v>22</v>
      </c>
      <c r="B26" s="44"/>
      <c r="C26" s="44">
        <v>1</v>
      </c>
      <c r="D26" s="44"/>
      <c r="E26" s="44"/>
      <c r="F26" s="44"/>
      <c r="G26" s="44"/>
      <c r="H26" s="44"/>
      <c r="I26" s="44"/>
      <c r="J26" s="44">
        <v>624</v>
      </c>
      <c r="K26" s="44"/>
      <c r="L26" s="44"/>
      <c r="M26" s="44"/>
      <c r="N26" s="44"/>
      <c r="O26" s="44"/>
      <c r="P26" s="44"/>
      <c r="Q26" s="44"/>
      <c r="R26" s="44"/>
    </row>
    <row r="27" spans="1:19" ht="13.5">
      <c r="A27" s="677" t="s">
        <v>27</v>
      </c>
      <c r="B27" s="44">
        <v>320</v>
      </c>
      <c r="C27" s="44">
        <v>630</v>
      </c>
      <c r="D27" s="44">
        <v>434</v>
      </c>
      <c r="E27" s="44">
        <v>334</v>
      </c>
      <c r="F27" s="44">
        <v>13293</v>
      </c>
      <c r="G27" s="44">
        <v>12683</v>
      </c>
      <c r="H27" s="44">
        <v>10539</v>
      </c>
      <c r="I27" s="44">
        <v>10221</v>
      </c>
      <c r="J27" s="44">
        <v>9603</v>
      </c>
      <c r="K27" s="44">
        <v>8742</v>
      </c>
      <c r="L27" s="44">
        <v>9066</v>
      </c>
      <c r="M27" s="44">
        <v>9397</v>
      </c>
      <c r="N27" s="44">
        <v>9872</v>
      </c>
      <c r="O27" s="44">
        <v>9939</v>
      </c>
      <c r="P27" s="44">
        <v>10304</v>
      </c>
      <c r="Q27" s="44">
        <v>10683</v>
      </c>
      <c r="R27" s="44"/>
      <c r="S27" s="675"/>
    </row>
    <row r="28" spans="1:19" ht="13.5">
      <c r="A28" s="677" t="s">
        <v>29</v>
      </c>
      <c r="B28" s="44">
        <v>802</v>
      </c>
      <c r="C28" s="44">
        <v>1505</v>
      </c>
      <c r="D28" s="44">
        <v>1446</v>
      </c>
      <c r="E28" s="44">
        <v>1345</v>
      </c>
      <c r="F28" s="44">
        <v>13392</v>
      </c>
      <c r="G28" s="44">
        <v>17663</v>
      </c>
      <c r="H28" s="44">
        <v>26420</v>
      </c>
      <c r="I28" s="44">
        <v>34866</v>
      </c>
      <c r="J28" s="44">
        <v>38604</v>
      </c>
      <c r="K28" s="44">
        <v>40875</v>
      </c>
      <c r="L28" s="44">
        <v>42186</v>
      </c>
      <c r="M28" s="44">
        <v>43392</v>
      </c>
      <c r="N28" s="44">
        <v>38663</v>
      </c>
      <c r="O28" s="44">
        <v>36939</v>
      </c>
      <c r="P28" s="44">
        <v>36339</v>
      </c>
      <c r="Q28" s="44">
        <v>34712</v>
      </c>
      <c r="R28" s="44"/>
      <c r="S28" s="678"/>
    </row>
    <row r="29" spans="1:19" ht="13.5">
      <c r="A29" s="677" t="s">
        <v>28</v>
      </c>
      <c r="B29" s="44">
        <v>57</v>
      </c>
      <c r="C29" s="44">
        <v>150</v>
      </c>
      <c r="D29" s="44">
        <v>180</v>
      </c>
      <c r="E29" s="44">
        <v>184</v>
      </c>
      <c r="F29" s="44">
        <v>291</v>
      </c>
      <c r="G29" s="44">
        <v>453</v>
      </c>
      <c r="H29" s="44">
        <v>426</v>
      </c>
      <c r="I29" s="44">
        <v>396</v>
      </c>
      <c r="J29" s="44">
        <v>350</v>
      </c>
      <c r="K29" s="44">
        <v>357</v>
      </c>
      <c r="L29" s="44">
        <v>363</v>
      </c>
      <c r="M29" s="44">
        <v>369</v>
      </c>
      <c r="N29" s="44">
        <v>375</v>
      </c>
      <c r="O29" s="44">
        <v>382</v>
      </c>
      <c r="P29" s="44">
        <v>388</v>
      </c>
      <c r="Q29" s="44">
        <v>395</v>
      </c>
      <c r="R29" s="44"/>
      <c r="S29" s="675"/>
    </row>
    <row r="30" spans="1:19" ht="13.5">
      <c r="A30" s="677" t="s">
        <v>30</v>
      </c>
      <c r="B30" s="44">
        <v>61643</v>
      </c>
      <c r="C30" s="44">
        <v>125515</v>
      </c>
      <c r="D30" s="44">
        <v>153225</v>
      </c>
      <c r="E30" s="44">
        <v>214067</v>
      </c>
      <c r="F30" s="44">
        <v>134090</v>
      </c>
      <c r="G30" s="44">
        <v>62929</v>
      </c>
      <c r="H30" s="44">
        <v>60345</v>
      </c>
      <c r="I30" s="44">
        <v>54120</v>
      </c>
      <c r="J30" s="44">
        <v>60830</v>
      </c>
      <c r="K30" s="44">
        <v>69848</v>
      </c>
      <c r="L30" s="44">
        <v>70159</v>
      </c>
      <c r="M30" s="44">
        <v>70984</v>
      </c>
      <c r="N30" s="44">
        <v>72761</v>
      </c>
      <c r="O30" s="44">
        <v>74349</v>
      </c>
      <c r="P30" s="44">
        <v>76183</v>
      </c>
      <c r="Q30" s="44">
        <v>78052</v>
      </c>
      <c r="R30" s="44"/>
      <c r="S30" s="679"/>
    </row>
    <row r="31" spans="1:19" ht="13.5">
      <c r="A31" s="671" t="s">
        <v>23</v>
      </c>
      <c r="B31" s="44">
        <v>6205</v>
      </c>
      <c r="C31" s="44">
        <v>9336</v>
      </c>
      <c r="D31" s="44">
        <v>20341</v>
      </c>
      <c r="E31" s="44">
        <v>43333</v>
      </c>
      <c r="F31" s="44">
        <v>55921</v>
      </c>
      <c r="G31" s="44">
        <v>59402</v>
      </c>
      <c r="H31" s="44">
        <v>57397</v>
      </c>
      <c r="I31" s="44">
        <v>50221</v>
      </c>
      <c r="J31" s="44">
        <v>58208</v>
      </c>
      <c r="K31" s="44">
        <v>68283</v>
      </c>
      <c r="L31" s="44">
        <v>68571</v>
      </c>
      <c r="M31" s="44">
        <v>69372</v>
      </c>
      <c r="N31" s="44">
        <v>71125</v>
      </c>
      <c r="O31" s="44">
        <v>72688</v>
      </c>
      <c r="P31" s="44">
        <v>74496</v>
      </c>
      <c r="Q31" s="44">
        <v>76339</v>
      </c>
      <c r="R31" s="44"/>
      <c r="S31" s="679"/>
    </row>
    <row r="32" spans="1:19" ht="13.5">
      <c r="A32" s="672" t="s">
        <v>36</v>
      </c>
      <c r="B32" s="44">
        <v>4241</v>
      </c>
      <c r="C32" s="44">
        <v>6350</v>
      </c>
      <c r="D32" s="44">
        <v>17587</v>
      </c>
      <c r="E32" s="44">
        <v>4477</v>
      </c>
      <c r="F32" s="44">
        <v>12182</v>
      </c>
      <c r="G32" s="44">
        <v>20978</v>
      </c>
      <c r="H32" s="44">
        <v>18778</v>
      </c>
      <c r="I32" s="44">
        <v>18069</v>
      </c>
      <c r="J32" s="44">
        <v>24384</v>
      </c>
      <c r="K32" s="44">
        <v>25817</v>
      </c>
      <c r="L32" s="44">
        <v>25869</v>
      </c>
      <c r="M32" s="44">
        <v>26427</v>
      </c>
      <c r="N32" s="44">
        <v>28875</v>
      </c>
      <c r="O32" s="44">
        <v>30584</v>
      </c>
      <c r="P32" s="44">
        <v>32494</v>
      </c>
      <c r="Q32" s="44">
        <v>34418</v>
      </c>
      <c r="R32" s="44"/>
      <c r="S32" s="679"/>
    </row>
    <row r="33" spans="1:19" ht="13.5">
      <c r="A33" s="672" t="s">
        <v>40</v>
      </c>
      <c r="B33" s="44"/>
      <c r="C33" s="44"/>
      <c r="D33" s="44"/>
      <c r="E33" s="44">
        <v>35942</v>
      </c>
      <c r="F33" s="44">
        <v>40361</v>
      </c>
      <c r="G33" s="44">
        <v>35042</v>
      </c>
      <c r="H33" s="44">
        <v>35319</v>
      </c>
      <c r="I33" s="44">
        <v>29180</v>
      </c>
      <c r="J33" s="44">
        <v>30812</v>
      </c>
      <c r="K33" s="44">
        <v>31682</v>
      </c>
      <c r="L33" s="44">
        <v>31682</v>
      </c>
      <c r="M33" s="44">
        <v>31682</v>
      </c>
      <c r="N33" s="44">
        <v>30739</v>
      </c>
      <c r="O33" s="44">
        <v>30340</v>
      </c>
      <c r="P33" s="44">
        <v>29979</v>
      </c>
      <c r="Q33" s="44">
        <v>29633</v>
      </c>
      <c r="R33" s="44"/>
      <c r="S33" s="679"/>
    </row>
    <row r="34" spans="1:19" ht="13.5">
      <c r="A34" s="672" t="s">
        <v>39</v>
      </c>
      <c r="B34" s="44">
        <v>1964</v>
      </c>
      <c r="C34" s="44">
        <v>2979</v>
      </c>
      <c r="D34" s="44">
        <v>2754</v>
      </c>
      <c r="E34" s="44">
        <v>2914</v>
      </c>
      <c r="F34" s="44">
        <v>3378</v>
      </c>
      <c r="G34" s="44">
        <v>3382</v>
      </c>
      <c r="H34" s="44">
        <v>3300</v>
      </c>
      <c r="I34" s="44">
        <v>2972</v>
      </c>
      <c r="J34" s="44">
        <v>3012</v>
      </c>
      <c r="K34" s="542">
        <v>3066</v>
      </c>
      <c r="L34" s="542">
        <v>3133</v>
      </c>
      <c r="M34" s="542">
        <v>3202</v>
      </c>
      <c r="N34" s="542">
        <v>3272</v>
      </c>
      <c r="O34" s="542">
        <v>3344</v>
      </c>
      <c r="P34" s="542">
        <v>3418</v>
      </c>
      <c r="Q34" s="542">
        <v>3493</v>
      </c>
      <c r="R34" s="44"/>
      <c r="S34" s="679"/>
    </row>
    <row r="35" spans="1:19" ht="13.5">
      <c r="A35" s="672" t="s">
        <v>615</v>
      </c>
      <c r="B35" s="44"/>
      <c r="C35" s="44"/>
      <c r="D35" s="44"/>
      <c r="E35" s="44"/>
      <c r="F35" s="44"/>
      <c r="G35" s="44"/>
      <c r="H35" s="44"/>
      <c r="I35" s="44"/>
      <c r="J35" s="44"/>
      <c r="K35" s="542">
        <v>3203</v>
      </c>
      <c r="L35" s="542">
        <v>3273</v>
      </c>
      <c r="M35" s="542">
        <v>3345</v>
      </c>
      <c r="N35" s="542">
        <v>3419</v>
      </c>
      <c r="O35" s="542">
        <v>3494</v>
      </c>
      <c r="P35" s="542">
        <v>3571</v>
      </c>
      <c r="Q35" s="542">
        <v>3650</v>
      </c>
      <c r="R35" s="44"/>
      <c r="S35" s="679"/>
    </row>
    <row r="36" spans="1:19" ht="13.5">
      <c r="A36" s="672" t="s">
        <v>616</v>
      </c>
      <c r="B36" s="44"/>
      <c r="C36" s="44"/>
      <c r="D36" s="44"/>
      <c r="E36" s="44"/>
      <c r="F36" s="44"/>
      <c r="G36" s="44"/>
      <c r="H36" s="44"/>
      <c r="I36" s="44"/>
      <c r="J36" s="44"/>
      <c r="K36" s="542">
        <v>4515</v>
      </c>
      <c r="L36" s="542">
        <v>4614</v>
      </c>
      <c r="M36" s="542">
        <v>4716</v>
      </c>
      <c r="N36" s="542">
        <v>4820</v>
      </c>
      <c r="O36" s="542">
        <v>4926</v>
      </c>
      <c r="P36" s="542">
        <v>5034</v>
      </c>
      <c r="Q36" s="542">
        <v>5145</v>
      </c>
      <c r="R36" s="44"/>
      <c r="S36" s="679"/>
    </row>
    <row r="37" spans="1:19" ht="13.5" outlineLevel="1">
      <c r="A37" s="672" t="s">
        <v>43</v>
      </c>
      <c r="B37" s="44"/>
      <c r="C37" s="44">
        <v>7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79"/>
    </row>
    <row r="38" spans="1:19" ht="13.5">
      <c r="A38" s="671" t="s">
        <v>22</v>
      </c>
      <c r="B38" s="44">
        <v>55438</v>
      </c>
      <c r="C38" s="44">
        <v>116179</v>
      </c>
      <c r="D38" s="44">
        <v>132884</v>
      </c>
      <c r="E38" s="44">
        <v>170734</v>
      </c>
      <c r="F38" s="44">
        <v>78169</v>
      </c>
      <c r="G38" s="44">
        <v>3527</v>
      </c>
      <c r="H38" s="44">
        <v>2948</v>
      </c>
      <c r="I38" s="44">
        <v>3899</v>
      </c>
      <c r="J38" s="44">
        <v>2622</v>
      </c>
      <c r="K38" s="44">
        <v>1565</v>
      </c>
      <c r="L38" s="44">
        <v>1588</v>
      </c>
      <c r="M38" s="44">
        <v>1612</v>
      </c>
      <c r="N38" s="44">
        <v>1636</v>
      </c>
      <c r="O38" s="44">
        <v>1661</v>
      </c>
      <c r="P38" s="44">
        <v>1687</v>
      </c>
      <c r="Q38" s="44">
        <v>1713</v>
      </c>
      <c r="R38" s="44"/>
      <c r="S38" s="679"/>
    </row>
    <row r="39" spans="1:19" ht="13.5" outlineLevel="1">
      <c r="A39" s="672" t="s">
        <v>38</v>
      </c>
      <c r="B39" s="44">
        <v>7355</v>
      </c>
      <c r="C39" s="44">
        <v>19099</v>
      </c>
      <c r="D39" s="44">
        <v>18669</v>
      </c>
      <c r="E39" s="44">
        <v>20098</v>
      </c>
      <c r="F39" s="44">
        <v>7392</v>
      </c>
      <c r="G39" s="44">
        <v>878</v>
      </c>
      <c r="H39" s="44">
        <v>829</v>
      </c>
      <c r="I39" s="44">
        <v>611</v>
      </c>
      <c r="J39" s="44">
        <v>180</v>
      </c>
      <c r="K39" s="44"/>
      <c r="L39" s="44"/>
      <c r="M39" s="44"/>
      <c r="N39" s="44"/>
      <c r="O39" s="44"/>
      <c r="P39" s="44"/>
      <c r="Q39" s="44"/>
      <c r="R39" s="44"/>
      <c r="S39" s="680"/>
    </row>
    <row r="40" spans="1:19" ht="13.5" outlineLevel="1">
      <c r="A40" s="672" t="s">
        <v>33</v>
      </c>
      <c r="B40" s="44">
        <v>47802</v>
      </c>
      <c r="C40" s="44">
        <v>89689</v>
      </c>
      <c r="D40" s="44">
        <v>104940</v>
      </c>
      <c r="E40" s="44">
        <v>143725</v>
      </c>
      <c r="F40" s="44">
        <v>63935</v>
      </c>
      <c r="G40" s="44">
        <v>1286</v>
      </c>
      <c r="H40" s="44">
        <v>442</v>
      </c>
      <c r="I40" s="44">
        <v>275</v>
      </c>
      <c r="J40" s="44">
        <v>300</v>
      </c>
      <c r="K40" s="44">
        <v>100</v>
      </c>
      <c r="L40" s="44">
        <v>100</v>
      </c>
      <c r="M40" s="44">
        <v>100</v>
      </c>
      <c r="N40" s="44">
        <v>100</v>
      </c>
      <c r="O40" s="44">
        <v>100</v>
      </c>
      <c r="P40" s="44">
        <v>100</v>
      </c>
      <c r="Q40" s="44">
        <v>100</v>
      </c>
      <c r="R40" s="44"/>
      <c r="S40" s="679"/>
    </row>
    <row r="41" spans="1:19" ht="13.5" outlineLevel="1">
      <c r="A41" s="672" t="s">
        <v>35</v>
      </c>
      <c r="B41" s="44"/>
      <c r="C41" s="44"/>
      <c r="D41" s="44"/>
      <c r="E41" s="44"/>
      <c r="F41" s="44"/>
      <c r="G41" s="44"/>
      <c r="H41" s="44"/>
      <c r="I41" s="44"/>
      <c r="J41" s="44">
        <v>0</v>
      </c>
      <c r="K41" s="44"/>
      <c r="L41" s="44"/>
      <c r="M41" s="44"/>
      <c r="N41" s="44"/>
      <c r="O41" s="44"/>
      <c r="P41" s="44"/>
      <c r="Q41" s="44"/>
      <c r="R41" s="44"/>
      <c r="S41" s="679"/>
    </row>
    <row r="42" spans="1:19" ht="13.5" outlineLevel="1">
      <c r="A42" s="672" t="s">
        <v>1</v>
      </c>
      <c r="B42" s="44">
        <v>281</v>
      </c>
      <c r="C42" s="44">
        <v>7391</v>
      </c>
      <c r="D42" s="44">
        <v>9275</v>
      </c>
      <c r="E42" s="44">
        <v>6911</v>
      </c>
      <c r="F42" s="44">
        <v>6842</v>
      </c>
      <c r="G42" s="44">
        <v>1363</v>
      </c>
      <c r="H42" s="44">
        <v>1677</v>
      </c>
      <c r="I42" s="44">
        <v>3013</v>
      </c>
      <c r="J42" s="44">
        <v>1050</v>
      </c>
      <c r="K42" s="44">
        <v>400</v>
      </c>
      <c r="L42" s="44">
        <v>400</v>
      </c>
      <c r="M42" s="44">
        <v>400</v>
      </c>
      <c r="N42" s="44">
        <v>400</v>
      </c>
      <c r="O42" s="44">
        <v>400</v>
      </c>
      <c r="P42" s="44">
        <v>400</v>
      </c>
      <c r="Q42" s="44">
        <v>400</v>
      </c>
      <c r="R42" s="44"/>
      <c r="S42" s="679"/>
    </row>
    <row r="43" spans="1:19" ht="13.5" outlineLevel="1">
      <c r="A43" s="672" t="s">
        <v>367</v>
      </c>
      <c r="B43" s="44"/>
      <c r="C43" s="44"/>
      <c r="D43" s="44"/>
      <c r="E43" s="44"/>
      <c r="F43" s="44"/>
      <c r="G43" s="44"/>
      <c r="H43" s="44"/>
      <c r="I43" s="44"/>
      <c r="J43" s="44">
        <v>1092</v>
      </c>
      <c r="K43" s="44">
        <v>1065</v>
      </c>
      <c r="L43" s="44">
        <v>1088</v>
      </c>
      <c r="M43" s="44">
        <v>1112</v>
      </c>
      <c r="N43" s="44">
        <v>1136</v>
      </c>
      <c r="O43" s="44">
        <v>1161</v>
      </c>
      <c r="P43" s="44">
        <v>1187</v>
      </c>
      <c r="Q43" s="44">
        <v>1213</v>
      </c>
      <c r="R43" s="44"/>
      <c r="S43" s="679"/>
    </row>
    <row r="44" spans="1:45" ht="13.5">
      <c r="A44" s="677" t="s">
        <v>14</v>
      </c>
      <c r="B44" s="44">
        <v>21639</v>
      </c>
      <c r="C44" s="44">
        <v>40591</v>
      </c>
      <c r="D44" s="44">
        <v>41599</v>
      </c>
      <c r="E44" s="44">
        <v>38860</v>
      </c>
      <c r="F44" s="44">
        <v>59484</v>
      </c>
      <c r="G44" s="44">
        <v>56645</v>
      </c>
      <c r="H44" s="44">
        <v>54625</v>
      </c>
      <c r="I44" s="44">
        <v>59732</v>
      </c>
      <c r="J44" s="44">
        <v>60063</v>
      </c>
      <c r="K44" s="44">
        <v>51357</v>
      </c>
      <c r="L44" s="44">
        <v>51048</v>
      </c>
      <c r="M44" s="44">
        <v>50752</v>
      </c>
      <c r="N44" s="44">
        <v>52657</v>
      </c>
      <c r="O44" s="44">
        <v>54137</v>
      </c>
      <c r="P44" s="44">
        <v>56531</v>
      </c>
      <c r="Q44" s="44">
        <v>59343</v>
      </c>
      <c r="R44" s="44"/>
      <c r="AP44" s="405"/>
      <c r="AQ44" s="405"/>
      <c r="AR44" s="405"/>
      <c r="AS44" s="405"/>
    </row>
    <row r="45" spans="1:19" ht="13.5">
      <c r="A45" s="677" t="s">
        <v>15</v>
      </c>
      <c r="B45" s="44">
        <v>10773</v>
      </c>
      <c r="C45" s="44">
        <v>11493</v>
      </c>
      <c r="D45" s="44">
        <v>10510</v>
      </c>
      <c r="E45" s="44">
        <v>10732</v>
      </c>
      <c r="F45" s="44">
        <v>19692</v>
      </c>
      <c r="G45" s="44">
        <v>17231</v>
      </c>
      <c r="H45" s="44">
        <v>16242</v>
      </c>
      <c r="I45" s="44">
        <v>18373</v>
      </c>
      <c r="J45" s="44">
        <v>18054</v>
      </c>
      <c r="K45" s="44">
        <v>15377</v>
      </c>
      <c r="L45" s="44">
        <v>15251</v>
      </c>
      <c r="M45" s="44">
        <v>15129</v>
      </c>
      <c r="N45" s="44">
        <v>15703</v>
      </c>
      <c r="O45" s="44">
        <v>16143</v>
      </c>
      <c r="P45" s="44">
        <v>16868</v>
      </c>
      <c r="Q45" s="44">
        <v>17721</v>
      </c>
      <c r="R45" s="438"/>
      <c r="S45" s="12"/>
    </row>
    <row r="46" spans="1:19" ht="13.5">
      <c r="A46" s="677" t="s">
        <v>635</v>
      </c>
      <c r="B46" s="44"/>
      <c r="C46" s="44"/>
      <c r="D46" s="44"/>
      <c r="E46" s="44"/>
      <c r="F46" s="44"/>
      <c r="G46" s="44"/>
      <c r="H46" s="44"/>
      <c r="I46" s="44"/>
      <c r="J46" s="44">
        <v>749</v>
      </c>
      <c r="K46" s="44">
        <v>852</v>
      </c>
      <c r="L46" s="44">
        <v>880</v>
      </c>
      <c r="M46" s="44">
        <v>909</v>
      </c>
      <c r="N46" s="44">
        <v>937</v>
      </c>
      <c r="O46" s="44">
        <v>964</v>
      </c>
      <c r="P46" s="44">
        <v>996</v>
      </c>
      <c r="Q46" s="44">
        <v>1031</v>
      </c>
      <c r="R46" s="438"/>
      <c r="S46" s="12"/>
    </row>
    <row r="47" spans="1:52" ht="13.5">
      <c r="A47" s="677" t="s">
        <v>336</v>
      </c>
      <c r="B47" s="44">
        <v>3236</v>
      </c>
      <c r="C47" s="44">
        <v>5348</v>
      </c>
      <c r="D47" s="44">
        <v>5253</v>
      </c>
      <c r="E47" s="44">
        <v>3529</v>
      </c>
      <c r="F47" s="44">
        <v>5812</v>
      </c>
      <c r="G47" s="44">
        <v>13111</v>
      </c>
      <c r="H47" s="44">
        <v>8076</v>
      </c>
      <c r="I47" s="44">
        <v>7962</v>
      </c>
      <c r="J47" s="44">
        <v>9051</v>
      </c>
      <c r="K47" s="44">
        <v>9062</v>
      </c>
      <c r="L47" s="44">
        <v>9261</v>
      </c>
      <c r="M47" s="44">
        <v>9465</v>
      </c>
      <c r="N47" s="44">
        <v>9673</v>
      </c>
      <c r="O47" s="44">
        <v>9886</v>
      </c>
      <c r="P47" s="44">
        <v>10103</v>
      </c>
      <c r="Q47" s="44">
        <v>10325</v>
      </c>
      <c r="R47" s="44"/>
      <c r="S47" s="12"/>
      <c r="AP47" s="11"/>
      <c r="AQ47" s="11"/>
      <c r="AR47" s="11"/>
      <c r="AS47" s="11"/>
      <c r="AT47" s="11"/>
      <c r="AU47" s="11"/>
      <c r="AV47" s="11"/>
      <c r="AW47" s="11"/>
      <c r="AZ47" s="11"/>
    </row>
    <row r="48" spans="1:52" ht="13.5" outlineLevel="1">
      <c r="A48" s="671" t="s">
        <v>23</v>
      </c>
      <c r="B48" s="44">
        <v>3233</v>
      </c>
      <c r="C48" s="44">
        <v>3096</v>
      </c>
      <c r="D48" s="44">
        <v>5253</v>
      </c>
      <c r="E48" s="44">
        <v>3529</v>
      </c>
      <c r="F48" s="44">
        <v>5812</v>
      </c>
      <c r="G48" s="44">
        <v>13111</v>
      </c>
      <c r="H48" s="44">
        <v>8076</v>
      </c>
      <c r="I48" s="44">
        <v>7649</v>
      </c>
      <c r="J48" s="44">
        <v>9051</v>
      </c>
      <c r="K48" s="44">
        <v>9062</v>
      </c>
      <c r="L48" s="44">
        <v>9261</v>
      </c>
      <c r="M48" s="44">
        <v>9465</v>
      </c>
      <c r="N48" s="44">
        <v>9673</v>
      </c>
      <c r="O48" s="44">
        <v>9886</v>
      </c>
      <c r="P48" s="44">
        <v>10103</v>
      </c>
      <c r="Q48" s="44">
        <v>10325</v>
      </c>
      <c r="R48" s="44"/>
      <c r="S48" s="12"/>
      <c r="AZ48" s="11"/>
    </row>
    <row r="49" spans="1:52" ht="13.5" outlineLevel="1">
      <c r="A49" s="671" t="s">
        <v>22</v>
      </c>
      <c r="B49" s="44">
        <v>3</v>
      </c>
      <c r="C49" s="44">
        <v>2252</v>
      </c>
      <c r="D49" s="44">
        <v>0</v>
      </c>
      <c r="E49" s="44">
        <v>0</v>
      </c>
      <c r="F49" s="44">
        <v>0</v>
      </c>
      <c r="G49" s="44"/>
      <c r="H49" s="44"/>
      <c r="I49" s="44">
        <v>313</v>
      </c>
      <c r="J49" s="44">
        <v>0</v>
      </c>
      <c r="K49" s="44"/>
      <c r="L49" s="44"/>
      <c r="M49" s="44"/>
      <c r="N49" s="44"/>
      <c r="O49" s="44"/>
      <c r="P49" s="44"/>
      <c r="Q49" s="44"/>
      <c r="R49" s="44"/>
      <c r="S49" s="12"/>
      <c r="AZ49" s="11"/>
    </row>
    <row r="50" spans="1:52" ht="13.5" outlineLevel="1">
      <c r="A50" s="672" t="s">
        <v>47</v>
      </c>
      <c r="B50" s="44"/>
      <c r="C50" s="44">
        <v>2252</v>
      </c>
      <c r="D50" s="44"/>
      <c r="E50" s="44"/>
      <c r="F50" s="44"/>
      <c r="G50" s="44"/>
      <c r="H50" s="44"/>
      <c r="I50" s="44">
        <v>313</v>
      </c>
      <c r="J50" s="44">
        <v>0</v>
      </c>
      <c r="K50" s="44"/>
      <c r="L50" s="44"/>
      <c r="M50" s="44"/>
      <c r="N50" s="44"/>
      <c r="O50" s="44"/>
      <c r="P50" s="44"/>
      <c r="Q50" s="44"/>
      <c r="R50" s="44"/>
      <c r="S50" s="12"/>
      <c r="AZ50" s="11"/>
    </row>
    <row r="51" spans="1:52" ht="13.5" outlineLevel="1">
      <c r="A51" s="672" t="s">
        <v>1</v>
      </c>
      <c r="B51" s="44">
        <v>3</v>
      </c>
      <c r="C51" s="44"/>
      <c r="D51" s="44"/>
      <c r="E51" s="44"/>
      <c r="F51" s="44"/>
      <c r="G51" s="44"/>
      <c r="H51" s="44"/>
      <c r="I51" s="44"/>
      <c r="J51" s="44">
        <v>0</v>
      </c>
      <c r="K51" s="44"/>
      <c r="L51" s="44"/>
      <c r="M51" s="44"/>
      <c r="N51" s="44"/>
      <c r="O51" s="44"/>
      <c r="P51" s="44"/>
      <c r="Q51" s="44"/>
      <c r="R51" s="44"/>
      <c r="S51" s="12"/>
      <c r="AZ51" s="11"/>
    </row>
    <row r="52" spans="1:52" ht="13.5">
      <c r="A52" s="677" t="s">
        <v>11</v>
      </c>
      <c r="B52" s="44">
        <v>-44</v>
      </c>
      <c r="C52" s="44">
        <v>62</v>
      </c>
      <c r="D52" s="44">
        <v>-692</v>
      </c>
      <c r="E52" s="44">
        <v>-458</v>
      </c>
      <c r="F52" s="44">
        <v>-1415</v>
      </c>
      <c r="G52" s="44">
        <v>-1521</v>
      </c>
      <c r="H52" s="44">
        <v>-3311</v>
      </c>
      <c r="I52" s="44">
        <v>-3224</v>
      </c>
      <c r="J52" s="44">
        <v>-5218</v>
      </c>
      <c r="K52" s="44">
        <v>-3283</v>
      </c>
      <c r="L52" s="44">
        <v>-4581</v>
      </c>
      <c r="M52" s="44">
        <v>-4593</v>
      </c>
      <c r="N52" s="44">
        <v>-3431</v>
      </c>
      <c r="O52" s="44">
        <v>-5109</v>
      </c>
      <c r="P52" s="44">
        <v>-5004</v>
      </c>
      <c r="Q52" s="44">
        <v>-4939</v>
      </c>
      <c r="R52" s="44"/>
      <c r="S52" s="12"/>
      <c r="AZ52" s="11"/>
    </row>
    <row r="53" spans="1:52" ht="13.5">
      <c r="A53" s="676" t="s">
        <v>16</v>
      </c>
      <c r="B53" s="676">
        <v>717</v>
      </c>
      <c r="C53" s="676">
        <v>-1479</v>
      </c>
      <c r="D53" s="676">
        <v>-10233</v>
      </c>
      <c r="E53" s="676">
        <v>-14292</v>
      </c>
      <c r="F53" s="676">
        <v>31939</v>
      </c>
      <c r="G53" s="676">
        <v>78819</v>
      </c>
      <c r="H53" s="48">
        <v>72831</v>
      </c>
      <c r="I53" s="48">
        <v>57875</v>
      </c>
      <c r="J53" s="48">
        <v>51097</v>
      </c>
      <c r="K53" s="48">
        <v>50697</v>
      </c>
      <c r="L53" s="48">
        <v>53282</v>
      </c>
      <c r="M53" s="48">
        <v>56607</v>
      </c>
      <c r="N53" s="48">
        <v>59390</v>
      </c>
      <c r="O53" s="48">
        <v>63252</v>
      </c>
      <c r="P53" s="48">
        <v>59129</v>
      </c>
      <c r="Q53" s="48">
        <v>62704</v>
      </c>
      <c r="R53" s="44"/>
      <c r="S53" s="12"/>
      <c r="AZ53" s="11"/>
    </row>
    <row r="54" spans="1:52" ht="13.5">
      <c r="A54" s="677" t="s">
        <v>321</v>
      </c>
      <c r="B54" s="44"/>
      <c r="C54" s="44"/>
      <c r="D54" s="44"/>
      <c r="E54" s="44"/>
      <c r="F54" s="44"/>
      <c r="G54" s="44">
        <v>714</v>
      </c>
      <c r="H54" s="44">
        <v>5248</v>
      </c>
      <c r="I54" s="44">
        <v>18082</v>
      </c>
      <c r="J54" s="44">
        <v>32103</v>
      </c>
      <c r="K54" s="44">
        <v>10948</v>
      </c>
      <c r="L54" s="44">
        <v>10949</v>
      </c>
      <c r="M54" s="44">
        <v>10951</v>
      </c>
      <c r="N54" s="44">
        <v>27451</v>
      </c>
      <c r="O54" s="44">
        <v>37949</v>
      </c>
      <c r="P54" s="44">
        <v>45952</v>
      </c>
      <c r="Q54" s="44">
        <v>53949</v>
      </c>
      <c r="R54" s="44"/>
      <c r="S54" s="12"/>
      <c r="AZ54" s="11"/>
    </row>
    <row r="55" spans="1:52" ht="13.5">
      <c r="A55" s="677" t="s">
        <v>252</v>
      </c>
      <c r="B55" s="44">
        <v>942</v>
      </c>
      <c r="C55" s="44">
        <v>1528</v>
      </c>
      <c r="D55" s="44">
        <v>1284</v>
      </c>
      <c r="E55" s="44">
        <v>1161</v>
      </c>
      <c r="F55" s="44">
        <v>31602</v>
      </c>
      <c r="G55" s="44">
        <v>74625</v>
      </c>
      <c r="H55" s="44">
        <v>79017</v>
      </c>
      <c r="I55" s="44">
        <v>82935</v>
      </c>
      <c r="J55" s="44">
        <v>86501</v>
      </c>
      <c r="K55" s="44">
        <v>59357</v>
      </c>
      <c r="L55" s="44">
        <v>61912</v>
      </c>
      <c r="M55" s="44">
        <v>64606</v>
      </c>
      <c r="N55" s="44">
        <v>84187</v>
      </c>
      <c r="O55" s="44">
        <v>97683</v>
      </c>
      <c r="P55" s="44">
        <v>101446</v>
      </c>
      <c r="Q55" s="44">
        <v>112041</v>
      </c>
      <c r="R55" s="44"/>
      <c r="S55" s="12"/>
      <c r="AZ55" s="11"/>
    </row>
    <row r="56" spans="1:19" ht="13.5">
      <c r="A56" s="677" t="s">
        <v>322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714</v>
      </c>
      <c r="H56" s="44">
        <v>5248</v>
      </c>
      <c r="I56" s="44">
        <v>18082</v>
      </c>
      <c r="J56" s="44">
        <v>32103</v>
      </c>
      <c r="K56" s="44">
        <v>10948</v>
      </c>
      <c r="L56" s="44">
        <v>10949</v>
      </c>
      <c r="M56" s="44">
        <v>10951</v>
      </c>
      <c r="N56" s="44">
        <v>27451</v>
      </c>
      <c r="O56" s="44">
        <v>37949</v>
      </c>
      <c r="P56" s="44">
        <v>45952</v>
      </c>
      <c r="Q56" s="44">
        <v>53949</v>
      </c>
      <c r="R56" s="44"/>
      <c r="S56" s="12"/>
    </row>
    <row r="57" spans="1:19" ht="13.5">
      <c r="A57" s="676" t="s">
        <v>17</v>
      </c>
      <c r="B57" s="676">
        <v>-225</v>
      </c>
      <c r="C57" s="676">
        <v>-3007</v>
      </c>
      <c r="D57" s="676">
        <v>-11517</v>
      </c>
      <c r="E57" s="676">
        <v>-15453</v>
      </c>
      <c r="F57" s="676">
        <v>337</v>
      </c>
      <c r="G57" s="676">
        <v>4908</v>
      </c>
      <c r="H57" s="676">
        <v>-938</v>
      </c>
      <c r="I57" s="676">
        <v>-6978</v>
      </c>
      <c r="J57" s="676">
        <v>-3301</v>
      </c>
      <c r="K57" s="676">
        <v>2288</v>
      </c>
      <c r="L57" s="676">
        <v>2319</v>
      </c>
      <c r="M57" s="676">
        <v>2952</v>
      </c>
      <c r="N57" s="676">
        <v>2654</v>
      </c>
      <c r="O57" s="676">
        <v>3518</v>
      </c>
      <c r="P57" s="676">
        <v>3635</v>
      </c>
      <c r="Q57" s="676">
        <v>4612</v>
      </c>
      <c r="R57" s="44"/>
      <c r="S57" s="12"/>
    </row>
    <row r="58" spans="1:19" ht="13.5">
      <c r="A58" s="44" t="s">
        <v>439</v>
      </c>
      <c r="B58" s="44"/>
      <c r="C58" s="44"/>
      <c r="D58" s="44"/>
      <c r="E58" s="44"/>
      <c r="F58" s="44"/>
      <c r="G58" s="44">
        <v>16951</v>
      </c>
      <c r="H58" s="44">
        <v>1785</v>
      </c>
      <c r="I58" s="44">
        <v>916</v>
      </c>
      <c r="J58" s="44">
        <v>5655</v>
      </c>
      <c r="K58" s="44">
        <v>9147</v>
      </c>
      <c r="L58" s="44">
        <v>5700</v>
      </c>
      <c r="M58" s="44">
        <v>6210</v>
      </c>
      <c r="N58" s="44">
        <v>6269</v>
      </c>
      <c r="O58" s="44">
        <v>3935</v>
      </c>
      <c r="P58" s="44">
        <v>2874</v>
      </c>
      <c r="Q58" s="44">
        <v>2048</v>
      </c>
      <c r="R58" s="44"/>
      <c r="S58" s="12"/>
    </row>
    <row r="59" spans="1:19" ht="13.5">
      <c r="A59" s="44" t="s">
        <v>330</v>
      </c>
      <c r="B59" s="44"/>
      <c r="C59" s="44"/>
      <c r="D59" s="44"/>
      <c r="E59" s="44"/>
      <c r="F59" s="44"/>
      <c r="G59" s="44">
        <v>-9335</v>
      </c>
      <c r="H59" s="44">
        <v>-1774</v>
      </c>
      <c r="I59" s="44">
        <v>-77</v>
      </c>
      <c r="J59" s="44">
        <v>-1755</v>
      </c>
      <c r="K59" s="44">
        <v>-2118</v>
      </c>
      <c r="L59" s="44">
        <v>-1476</v>
      </c>
      <c r="M59" s="44">
        <v>-775</v>
      </c>
      <c r="N59" s="44">
        <v>-946</v>
      </c>
      <c r="O59" s="44">
        <v>-455</v>
      </c>
      <c r="P59" s="44">
        <v>-385</v>
      </c>
      <c r="Q59" s="44">
        <v>-175</v>
      </c>
      <c r="R59" s="44"/>
      <c r="S59" s="12"/>
    </row>
    <row r="60" spans="1:19" ht="13.5" outlineLevel="1">
      <c r="A60" s="44" t="s">
        <v>253</v>
      </c>
      <c r="B60" s="44"/>
      <c r="C60" s="44"/>
      <c r="D60" s="44"/>
      <c r="E60" s="44"/>
      <c r="F60" s="44"/>
      <c r="G60" s="44"/>
      <c r="H60" s="44">
        <v>7250</v>
      </c>
      <c r="I60" s="44"/>
      <c r="J60" s="44">
        <v>0</v>
      </c>
      <c r="K60" s="44"/>
      <c r="L60" s="44"/>
      <c r="M60" s="44"/>
      <c r="N60" s="44"/>
      <c r="O60" s="44"/>
      <c r="P60" s="44"/>
      <c r="Q60" s="44"/>
      <c r="R60" s="44"/>
      <c r="S60" s="189"/>
    </row>
    <row r="61" spans="1:19" ht="13.5">
      <c r="A61" s="44" t="s">
        <v>31</v>
      </c>
      <c r="B61" s="44">
        <v>14</v>
      </c>
      <c r="C61" s="44">
        <v>58</v>
      </c>
      <c r="D61" s="44">
        <v>4</v>
      </c>
      <c r="E61" s="44">
        <v>16</v>
      </c>
      <c r="F61" s="44">
        <v>168</v>
      </c>
      <c r="G61" s="44">
        <v>131</v>
      </c>
      <c r="H61" s="44">
        <v>17</v>
      </c>
      <c r="I61" s="44">
        <v>383</v>
      </c>
      <c r="J61" s="44">
        <v>457</v>
      </c>
      <c r="K61" s="44">
        <v>401</v>
      </c>
      <c r="L61" s="44">
        <v>358</v>
      </c>
      <c r="M61" s="44">
        <v>314</v>
      </c>
      <c r="N61" s="44">
        <v>271</v>
      </c>
      <c r="O61" s="44">
        <v>228</v>
      </c>
      <c r="P61" s="44">
        <v>184</v>
      </c>
      <c r="Q61" s="44">
        <v>141</v>
      </c>
      <c r="R61" s="48"/>
      <c r="S61" s="189"/>
    </row>
    <row r="62" spans="1:19" ht="13.5">
      <c r="A62" s="44" t="s">
        <v>32</v>
      </c>
      <c r="B62" s="44">
        <v>82</v>
      </c>
      <c r="C62" s="44">
        <v>95</v>
      </c>
      <c r="D62" s="44">
        <v>68</v>
      </c>
      <c r="E62" s="44">
        <v>160</v>
      </c>
      <c r="F62" s="44">
        <v>203</v>
      </c>
      <c r="G62" s="44">
        <v>11598</v>
      </c>
      <c r="H62" s="44">
        <v>12334</v>
      </c>
      <c r="I62" s="44">
        <v>5145</v>
      </c>
      <c r="J62" s="44">
        <v>3550</v>
      </c>
      <c r="K62" s="44">
        <v>3000</v>
      </c>
      <c r="L62" s="44">
        <v>2700</v>
      </c>
      <c r="M62" s="44">
        <v>2400</v>
      </c>
      <c r="N62" s="44">
        <v>2000</v>
      </c>
      <c r="O62" s="44">
        <v>1800</v>
      </c>
      <c r="P62" s="44">
        <v>1500</v>
      </c>
      <c r="Q62" s="44">
        <v>1300</v>
      </c>
      <c r="R62" s="44"/>
      <c r="S62" s="12"/>
    </row>
    <row r="63" spans="1:19" ht="13.5">
      <c r="A63" s="44" t="s">
        <v>45</v>
      </c>
      <c r="B63" s="44"/>
      <c r="C63" s="44"/>
      <c r="D63" s="44"/>
      <c r="E63" s="44"/>
      <c r="F63" s="44"/>
      <c r="G63" s="44"/>
      <c r="H63" s="44"/>
      <c r="I63" s="44"/>
      <c r="J63" s="44">
        <v>0</v>
      </c>
      <c r="K63" s="44"/>
      <c r="L63" s="44"/>
      <c r="M63" s="44"/>
      <c r="N63" s="44"/>
      <c r="O63" s="44"/>
      <c r="P63" s="44"/>
      <c r="Q63" s="44"/>
      <c r="R63" s="44"/>
      <c r="S63" s="189"/>
    </row>
    <row r="64" spans="1:19" ht="13.5">
      <c r="A64" s="48" t="s">
        <v>44</v>
      </c>
      <c r="B64" s="48">
        <v>-293</v>
      </c>
      <c r="C64" s="48">
        <v>-3044</v>
      </c>
      <c r="D64" s="48">
        <v>-11581</v>
      </c>
      <c r="E64" s="48">
        <v>-15597</v>
      </c>
      <c r="F64" s="48">
        <v>302</v>
      </c>
      <c r="G64" s="48">
        <v>1057</v>
      </c>
      <c r="H64" s="48">
        <v>-5994</v>
      </c>
      <c r="I64" s="48">
        <v>-10901</v>
      </c>
      <c r="J64" s="48">
        <v>-2494</v>
      </c>
      <c r="K64" s="48">
        <v>6718</v>
      </c>
      <c r="L64" s="48">
        <v>4201</v>
      </c>
      <c r="M64" s="48">
        <v>6301</v>
      </c>
      <c r="N64" s="48">
        <v>6248</v>
      </c>
      <c r="O64" s="48">
        <v>5426</v>
      </c>
      <c r="P64" s="48">
        <v>4808</v>
      </c>
      <c r="Q64" s="48">
        <v>5326</v>
      </c>
      <c r="S64" s="12"/>
    </row>
    <row r="65" spans="1:19" ht="13.5" outlineLevel="1">
      <c r="A65" s="44" t="s">
        <v>46</v>
      </c>
      <c r="B65" s="44"/>
      <c r="C65" s="44">
        <v>-177</v>
      </c>
      <c r="D65" s="44">
        <v>-121</v>
      </c>
      <c r="E65" s="44">
        <v>59</v>
      </c>
      <c r="F65" s="44">
        <v>-916</v>
      </c>
      <c r="G65" s="44">
        <v>-570</v>
      </c>
      <c r="H65" s="44">
        <v>6509</v>
      </c>
      <c r="I65" s="44">
        <v>4366</v>
      </c>
      <c r="J65" s="44">
        <v>0</v>
      </c>
      <c r="K65" s="44"/>
      <c r="L65" s="44"/>
      <c r="M65" s="44"/>
      <c r="N65" s="44"/>
      <c r="O65" s="44"/>
      <c r="P65" s="44"/>
      <c r="Q65" s="44"/>
      <c r="S65" s="189"/>
    </row>
    <row r="66" spans="1:19" ht="27">
      <c r="A66" s="681" t="s">
        <v>331</v>
      </c>
      <c r="B66" s="44"/>
      <c r="C66" s="44"/>
      <c r="D66" s="44"/>
      <c r="E66" s="44"/>
      <c r="F66" s="44"/>
      <c r="G66" s="44"/>
      <c r="H66" s="44">
        <v>143</v>
      </c>
      <c r="I66" s="44"/>
      <c r="J66" s="44">
        <v>3200</v>
      </c>
      <c r="K66" s="44"/>
      <c r="L66" s="44"/>
      <c r="M66" s="44"/>
      <c r="N66" s="44"/>
      <c r="O66" s="44"/>
      <c r="P66" s="44"/>
      <c r="Q66" s="44"/>
      <c r="S66" s="12"/>
    </row>
    <row r="67" spans="1:19" ht="27">
      <c r="A67" s="681" t="s">
        <v>332</v>
      </c>
      <c r="B67" s="44"/>
      <c r="C67" s="44"/>
      <c r="D67" s="44"/>
      <c r="E67" s="44"/>
      <c r="F67" s="44"/>
      <c r="G67" s="44"/>
      <c r="H67" s="44">
        <v>-4</v>
      </c>
      <c r="I67" s="44"/>
      <c r="J67" s="44">
        <v>-17</v>
      </c>
      <c r="K67" s="44"/>
      <c r="L67" s="44"/>
      <c r="M67" s="44"/>
      <c r="N67" s="44"/>
      <c r="O67" s="44"/>
      <c r="P67" s="44"/>
      <c r="Q67" s="44"/>
      <c r="S67" s="189"/>
    </row>
    <row r="68" spans="1:19" ht="14.25" thickBot="1">
      <c r="A68" s="682" t="s">
        <v>8</v>
      </c>
      <c r="B68" s="682">
        <v>-293</v>
      </c>
      <c r="C68" s="682">
        <v>-2867</v>
      </c>
      <c r="D68" s="682">
        <v>-11460</v>
      </c>
      <c r="E68" s="682">
        <v>-15656</v>
      </c>
      <c r="F68" s="682">
        <v>1218</v>
      </c>
      <c r="G68" s="682">
        <v>1627</v>
      </c>
      <c r="H68" s="682">
        <v>-12364</v>
      </c>
      <c r="I68" s="682">
        <v>-15267</v>
      </c>
      <c r="J68" s="682">
        <v>689</v>
      </c>
      <c r="K68" s="682">
        <v>6718</v>
      </c>
      <c r="L68" s="682">
        <v>4201</v>
      </c>
      <c r="M68" s="682">
        <v>6301</v>
      </c>
      <c r="N68" s="682">
        <v>6248</v>
      </c>
      <c r="O68" s="682">
        <v>5426</v>
      </c>
      <c r="P68" s="682">
        <v>4808</v>
      </c>
      <c r="Q68" s="682">
        <v>5326</v>
      </c>
      <c r="S68" s="12"/>
    </row>
    <row r="69" ht="14.25" thickTop="1">
      <c r="S69" s="189"/>
    </row>
    <row r="70" ht="13.5">
      <c r="S70" s="12"/>
    </row>
    <row r="71" spans="2:19" ht="13.5">
      <c r="B71" s="678"/>
      <c r="C71" s="678"/>
      <c r="D71" s="678"/>
      <c r="E71" s="678"/>
      <c r="S71" s="189"/>
    </row>
    <row r="72" ht="13.5">
      <c r="S72" s="12"/>
    </row>
    <row r="73" ht="13.5">
      <c r="S73" s="189"/>
    </row>
    <row r="74" ht="13.5">
      <c r="S74" s="12"/>
    </row>
    <row r="75" ht="13.5">
      <c r="S75" s="189"/>
    </row>
    <row r="76" ht="13.5">
      <c r="S76" s="12"/>
    </row>
    <row r="77" ht="13.5">
      <c r="S77" s="189"/>
    </row>
    <row r="78" ht="13.5">
      <c r="S78" s="12"/>
    </row>
    <row r="79" ht="13.5">
      <c r="S79" s="189"/>
    </row>
    <row r="80" ht="13.5">
      <c r="S80" s="12"/>
    </row>
    <row r="81" ht="13.5">
      <c r="S81" s="189"/>
    </row>
    <row r="82" ht="13.5">
      <c r="S82" s="12"/>
    </row>
    <row r="83" ht="13.5">
      <c r="S83" s="189"/>
    </row>
    <row r="84" ht="13.5">
      <c r="S84" s="12"/>
    </row>
    <row r="85" ht="13.5">
      <c r="S85" s="189"/>
    </row>
    <row r="86" ht="13.5">
      <c r="S86" s="12"/>
    </row>
    <row r="87" ht="13.5">
      <c r="S87" s="189"/>
    </row>
    <row r="88" ht="13.5">
      <c r="S88" s="12"/>
    </row>
    <row r="89" ht="13.5">
      <c r="S89" s="189"/>
    </row>
    <row r="90" ht="13.5">
      <c r="S90" s="12"/>
    </row>
  </sheetData>
  <sheetProtection/>
  <mergeCells count="1">
    <mergeCell ref="O1:Q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0"/>
  <sheetViews>
    <sheetView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140625" defaultRowHeight="12.75" outlineLevelRow="1" outlineLevelCol="1"/>
  <cols>
    <col min="1" max="1" width="56.00390625" style="106" customWidth="1"/>
    <col min="2" max="6" width="12.140625" style="106" hidden="1" customWidth="1" outlineLevel="1"/>
    <col min="7" max="8" width="11.8515625" style="106" hidden="1" customWidth="1" outlineLevel="1"/>
    <col min="9" max="9" width="11.140625" style="106" hidden="1" customWidth="1" outlineLevel="1"/>
    <col min="10" max="10" width="9.57421875" style="106" customWidth="1" collapsed="1"/>
    <col min="11" max="11" width="9.8515625" style="106" customWidth="1"/>
    <col min="12" max="16" width="10.00390625" style="106" customWidth="1"/>
    <col min="17" max="17" width="11.00390625" style="106" customWidth="1"/>
    <col min="18" max="18" width="9.8515625" style="106" customWidth="1"/>
    <col min="19" max="19" width="31.00390625" style="106" customWidth="1" outlineLevel="1"/>
    <col min="20" max="21" width="10.421875" style="106" customWidth="1" outlineLevel="1"/>
    <col min="22" max="22" width="9.140625" style="106" customWidth="1" outlineLevel="1"/>
    <col min="23" max="23" width="9.7109375" style="106" customWidth="1" outlineLevel="1"/>
    <col min="24" max="34" width="9.140625" style="106" customWidth="1" outlineLevel="1"/>
    <col min="35" max="47" width="9.140625" style="106" customWidth="1"/>
    <col min="48" max="16384" width="9.140625" style="106" customWidth="1"/>
  </cols>
  <sheetData>
    <row r="1" spans="1:25" ht="15">
      <c r="A1" s="104" t="s">
        <v>42</v>
      </c>
      <c r="B1" s="104"/>
      <c r="C1" s="104"/>
      <c r="D1" s="104"/>
      <c r="E1" s="104"/>
      <c r="F1" s="104"/>
      <c r="H1" s="105"/>
      <c r="J1" s="105"/>
      <c r="K1" s="105"/>
      <c r="L1" s="105"/>
      <c r="O1" s="784" t="s">
        <v>620</v>
      </c>
      <c r="P1" s="784"/>
      <c r="Q1" s="784"/>
      <c r="R1" s="104"/>
      <c r="S1" s="107"/>
      <c r="T1" s="107"/>
      <c r="U1" s="107"/>
      <c r="V1" s="107"/>
      <c r="W1" s="107"/>
      <c r="X1" s="107"/>
      <c r="Y1" s="107"/>
    </row>
    <row r="2" spans="1:18" ht="15">
      <c r="A2" s="105" t="s">
        <v>342</v>
      </c>
      <c r="B2" s="105"/>
      <c r="C2" s="105"/>
      <c r="D2" s="105"/>
      <c r="E2" s="105"/>
      <c r="F2" s="105"/>
      <c r="H2" s="105"/>
      <c r="J2" s="368"/>
      <c r="L2" s="105"/>
      <c r="Q2" s="105" t="s">
        <v>48</v>
      </c>
      <c r="R2" s="104"/>
    </row>
    <row r="3" spans="1:18" ht="2.25" customHeight="1">
      <c r="A3" s="107"/>
      <c r="B3" s="107"/>
      <c r="C3" s="107"/>
      <c r="D3" s="107"/>
      <c r="E3" s="107"/>
      <c r="F3" s="107"/>
      <c r="R3" s="104"/>
    </row>
    <row r="4" spans="1:18" ht="15">
      <c r="A4" s="108"/>
      <c r="B4" s="108"/>
      <c r="C4" s="108"/>
      <c r="D4" s="108"/>
      <c r="E4" s="108"/>
      <c r="F4" s="108"/>
      <c r="G4" s="108"/>
      <c r="H4" s="108"/>
      <c r="I4" s="109" t="s">
        <v>499</v>
      </c>
      <c r="J4" s="109"/>
      <c r="K4" s="108"/>
      <c r="L4" s="108"/>
      <c r="M4" s="108"/>
      <c r="N4" s="108"/>
      <c r="O4" s="108"/>
      <c r="P4" s="108"/>
      <c r="Q4" s="108"/>
      <c r="R4" s="104"/>
    </row>
    <row r="5" spans="1:18" ht="15">
      <c r="A5" s="110" t="s">
        <v>37</v>
      </c>
      <c r="B5" s="108" t="s">
        <v>3</v>
      </c>
      <c r="C5" s="108" t="s">
        <v>3</v>
      </c>
      <c r="D5" s="108" t="s">
        <v>3</v>
      </c>
      <c r="E5" s="108" t="s">
        <v>3</v>
      </c>
      <c r="F5" s="108" t="s">
        <v>3</v>
      </c>
      <c r="G5" s="108" t="s">
        <v>3</v>
      </c>
      <c r="H5" s="108" t="s">
        <v>3</v>
      </c>
      <c r="I5" s="108" t="s">
        <v>3</v>
      </c>
      <c r="J5" s="108" t="s">
        <v>111</v>
      </c>
      <c r="K5" s="108" t="s">
        <v>2</v>
      </c>
      <c r="L5" s="108" t="s">
        <v>2</v>
      </c>
      <c r="M5" s="108" t="s">
        <v>2</v>
      </c>
      <c r="N5" s="108" t="s">
        <v>2</v>
      </c>
      <c r="O5" s="108" t="s">
        <v>2</v>
      </c>
      <c r="P5" s="108" t="s">
        <v>2</v>
      </c>
      <c r="Q5" s="108" t="s">
        <v>2</v>
      </c>
      <c r="R5" s="104"/>
    </row>
    <row r="6" spans="1:30" ht="15">
      <c r="A6" s="111"/>
      <c r="B6" s="370" t="s">
        <v>547</v>
      </c>
      <c r="C6" s="370" t="s">
        <v>12</v>
      </c>
      <c r="D6" s="370" t="s">
        <v>41</v>
      </c>
      <c r="E6" s="370" t="s">
        <v>548</v>
      </c>
      <c r="F6" s="370" t="s">
        <v>51</v>
      </c>
      <c r="G6" s="112" t="s">
        <v>52</v>
      </c>
      <c r="H6" s="112" t="s">
        <v>53</v>
      </c>
      <c r="I6" s="112" t="s">
        <v>54</v>
      </c>
      <c r="J6" s="112" t="s">
        <v>96</v>
      </c>
      <c r="K6" s="112" t="s">
        <v>97</v>
      </c>
      <c r="L6" s="112" t="s">
        <v>112</v>
      </c>
      <c r="M6" s="112" t="s">
        <v>337</v>
      </c>
      <c r="N6" s="112" t="s">
        <v>338</v>
      </c>
      <c r="O6" s="112" t="s">
        <v>339</v>
      </c>
      <c r="P6" s="112" t="s">
        <v>340</v>
      </c>
      <c r="Q6" s="112" t="s">
        <v>341</v>
      </c>
      <c r="R6" s="104"/>
      <c r="T6" s="117">
        <v>2012</v>
      </c>
      <c r="U6" s="117">
        <v>2013</v>
      </c>
      <c r="V6" s="117">
        <v>2014</v>
      </c>
      <c r="W6" s="117">
        <v>2015</v>
      </c>
      <c r="X6" s="117">
        <v>2016</v>
      </c>
      <c r="Y6" s="117" t="s">
        <v>113</v>
      </c>
      <c r="Z6" s="117" t="s">
        <v>344</v>
      </c>
      <c r="AA6" s="117" t="s">
        <v>345</v>
      </c>
      <c r="AB6" s="117" t="s">
        <v>346</v>
      </c>
      <c r="AC6" s="117" t="s">
        <v>347</v>
      </c>
      <c r="AD6" s="117" t="s">
        <v>348</v>
      </c>
    </row>
    <row r="7" spans="1:30" ht="15">
      <c r="A7" s="104" t="s">
        <v>5</v>
      </c>
      <c r="B7" s="104">
        <f>B8+B11</f>
        <v>0</v>
      </c>
      <c r="C7" s="104">
        <f>C8+C11</f>
        <v>50</v>
      </c>
      <c r="D7" s="104">
        <f>D8+D11</f>
        <v>0</v>
      </c>
      <c r="E7" s="104">
        <f>E8+E11</f>
        <v>75247</v>
      </c>
      <c r="F7" s="104">
        <f>F8+F11</f>
        <v>81591</v>
      </c>
      <c r="G7" s="104">
        <f aca="true" t="shared" si="0" ref="G7:L7">G8+G11</f>
        <v>79692</v>
      </c>
      <c r="H7" s="104">
        <f t="shared" si="0"/>
        <v>75707</v>
      </c>
      <c r="I7" s="104">
        <f t="shared" si="0"/>
        <v>70196</v>
      </c>
      <c r="J7" s="621">
        <v>69805</v>
      </c>
      <c r="K7" s="104">
        <f t="shared" si="0"/>
        <v>74006</v>
      </c>
      <c r="L7" s="104">
        <f t="shared" si="0"/>
        <v>75703</v>
      </c>
      <c r="M7" s="104">
        <f>M8+M11</f>
        <v>78066</v>
      </c>
      <c r="N7" s="104">
        <f>N8+N11</f>
        <v>82403</v>
      </c>
      <c r="O7" s="104">
        <f>O8+O11</f>
        <v>87139</v>
      </c>
      <c r="P7" s="104">
        <f>P8+P11</f>
        <v>91843</v>
      </c>
      <c r="Q7" s="104">
        <f>Q8+Q11</f>
        <v>97265</v>
      </c>
      <c r="R7" s="107"/>
      <c r="S7" s="106" t="s">
        <v>503</v>
      </c>
      <c r="AA7" s="106">
        <f>150000/10</f>
        <v>15000</v>
      </c>
      <c r="AB7" s="106">
        <f>150000/10</f>
        <v>15000</v>
      </c>
      <c r="AC7" s="106">
        <f>150000/10</f>
        <v>15000</v>
      </c>
      <c r="AD7" s="106">
        <f>150000/10</f>
        <v>15000</v>
      </c>
    </row>
    <row r="8" spans="1:30" ht="15">
      <c r="A8" s="107" t="s">
        <v>20</v>
      </c>
      <c r="B8" s="107">
        <f>B9</f>
        <v>0</v>
      </c>
      <c r="C8" s="107">
        <f>C9</f>
        <v>50</v>
      </c>
      <c r="D8" s="107">
        <f>D9</f>
        <v>0</v>
      </c>
      <c r="E8" s="107">
        <f>E9</f>
        <v>75247</v>
      </c>
      <c r="F8" s="107">
        <f>F9</f>
        <v>81591</v>
      </c>
      <c r="G8" s="107">
        <f aca="true" t="shared" si="1" ref="G8:Q8">G9</f>
        <v>77359</v>
      </c>
      <c r="H8" s="107">
        <f t="shared" si="1"/>
        <v>73900</v>
      </c>
      <c r="I8" s="107">
        <f t="shared" si="1"/>
        <v>68180</v>
      </c>
      <c r="J8" s="13">
        <v>68129</v>
      </c>
      <c r="K8" s="107">
        <f t="shared" si="1"/>
        <v>73009</v>
      </c>
      <c r="L8" s="107">
        <f t="shared" si="1"/>
        <v>74691</v>
      </c>
      <c r="M8" s="107">
        <f t="shared" si="1"/>
        <v>77038</v>
      </c>
      <c r="N8" s="107">
        <f t="shared" si="1"/>
        <v>81358</v>
      </c>
      <c r="O8" s="107">
        <f t="shared" si="1"/>
        <v>86078</v>
      </c>
      <c r="P8" s="107">
        <f t="shared" si="1"/>
        <v>90765</v>
      </c>
      <c r="Q8" s="107">
        <f t="shared" si="1"/>
        <v>96170</v>
      </c>
      <c r="R8" s="107"/>
      <c r="AB8" s="106">
        <f>90000/10</f>
        <v>9000</v>
      </c>
      <c r="AC8" s="106">
        <f>90000/10</f>
        <v>9000</v>
      </c>
      <c r="AD8" s="106">
        <f>90000/10</f>
        <v>9000</v>
      </c>
    </row>
    <row r="9" spans="1:30" ht="15">
      <c r="A9" s="113" t="s">
        <v>0</v>
      </c>
      <c r="B9" s="107"/>
      <c r="C9" s="107">
        <v>50</v>
      </c>
      <c r="D9" s="107"/>
      <c r="E9" s="107">
        <v>75247</v>
      </c>
      <c r="F9" s="107">
        <v>81591</v>
      </c>
      <c r="G9" s="107">
        <f>79692-2333</f>
        <v>77359</v>
      </c>
      <c r="H9" s="107">
        <v>73900</v>
      </c>
      <c r="I9" s="107">
        <v>68180</v>
      </c>
      <c r="J9" s="13">
        <v>68129</v>
      </c>
      <c r="K9" s="107">
        <f>INT(prihodi!M27+0.5)-K12</f>
        <v>73009</v>
      </c>
      <c r="L9" s="107">
        <f>INT(prihodi!N27+0.5)-L12</f>
        <v>74691</v>
      </c>
      <c r="M9" s="107">
        <f>INT(prihodi!O27+0.5)-M12</f>
        <v>77038</v>
      </c>
      <c r="N9" s="107">
        <f>INT(prihodi!P27+0.5)-N12</f>
        <v>81358</v>
      </c>
      <c r="O9" s="107">
        <f>INT(prihodi!Q27+0.5)-O12</f>
        <v>86078</v>
      </c>
      <c r="P9" s="107">
        <f>INT(prihodi!R27+0.5)-P12</f>
        <v>90765</v>
      </c>
      <c r="Q9" s="107">
        <f>INT(prihodi!S27+0.5)-Q12</f>
        <v>96170</v>
      </c>
      <c r="R9" s="406">
        <f>+Q7/(Q7+Q20)</f>
        <v>0.34978476719974394</v>
      </c>
      <c r="T9" s="107"/>
      <c r="U9" s="107"/>
      <c r="V9" s="107"/>
      <c r="W9" s="107"/>
      <c r="X9" s="107"/>
      <c r="Y9" s="107"/>
      <c r="Z9" s="107"/>
      <c r="AC9" s="106">
        <f>80000/10</f>
        <v>8000</v>
      </c>
      <c r="AD9" s="106">
        <f>80000/10</f>
        <v>8000</v>
      </c>
    </row>
    <row r="10" spans="1:30" ht="15">
      <c r="A10" s="114" t="s">
        <v>21</v>
      </c>
      <c r="B10" s="107"/>
      <c r="C10" s="107"/>
      <c r="D10" s="107"/>
      <c r="E10" s="107">
        <v>17700</v>
      </c>
      <c r="F10" s="107">
        <v>17680</v>
      </c>
      <c r="G10" s="107">
        <v>17348</v>
      </c>
      <c r="H10" s="107">
        <v>16544</v>
      </c>
      <c r="I10" s="107">
        <v>14988</v>
      </c>
      <c r="J10" s="13">
        <v>16175</v>
      </c>
      <c r="K10" s="107">
        <f>INT(prihodi!L15+0.5)</f>
        <v>16175</v>
      </c>
      <c r="L10" s="107">
        <f>INT(prihodi!M15+0.5)</f>
        <v>16175</v>
      </c>
      <c r="M10" s="107">
        <f>INT(prihodi!N15+0.5)</f>
        <v>16175</v>
      </c>
      <c r="N10" s="107">
        <f>INT(prihodi!O15+0.5)</f>
        <v>16175</v>
      </c>
      <c r="O10" s="107">
        <f>INT(prihodi!P15+0.5)</f>
        <v>18062</v>
      </c>
      <c r="P10" s="107">
        <f>INT(prihodi!Q15+0.5)</f>
        <v>18062</v>
      </c>
      <c r="Q10" s="107">
        <f>INT(prihodi!R15+0.5)</f>
        <v>18062</v>
      </c>
      <c r="R10" s="406">
        <f>+J7/(J7+J20)</f>
        <v>0.27943796161005585</v>
      </c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>
        <f>80000/10</f>
        <v>8000</v>
      </c>
    </row>
    <row r="11" spans="1:30" ht="15">
      <c r="A11" s="107" t="s">
        <v>19</v>
      </c>
      <c r="B11" s="107">
        <f>SUM(B12:B12)</f>
        <v>0</v>
      </c>
      <c r="C11" s="107">
        <f>SUM(C12:C12)</f>
        <v>0</v>
      </c>
      <c r="D11" s="107">
        <f>SUM(D12:D12)</f>
        <v>0</v>
      </c>
      <c r="E11" s="107">
        <f>SUM(E12:E12)</f>
        <v>0</v>
      </c>
      <c r="F11" s="107">
        <f>SUM(F12:F12)</f>
        <v>0</v>
      </c>
      <c r="G11" s="107">
        <f aca="true" t="shared" si="2" ref="G11:Q11">SUM(G12:G12)</f>
        <v>2333</v>
      </c>
      <c r="H11" s="107">
        <f t="shared" si="2"/>
        <v>1807</v>
      </c>
      <c r="I11" s="107">
        <f t="shared" si="2"/>
        <v>2016</v>
      </c>
      <c r="J11" s="13">
        <v>1676</v>
      </c>
      <c r="K11" s="107">
        <f t="shared" si="2"/>
        <v>997</v>
      </c>
      <c r="L11" s="107">
        <f t="shared" si="2"/>
        <v>1012</v>
      </c>
      <c r="M11" s="107">
        <f t="shared" si="2"/>
        <v>1028</v>
      </c>
      <c r="N11" s="107">
        <f t="shared" si="2"/>
        <v>1045</v>
      </c>
      <c r="O11" s="107">
        <f t="shared" si="2"/>
        <v>1061</v>
      </c>
      <c r="P11" s="107">
        <f t="shared" si="2"/>
        <v>1078</v>
      </c>
      <c r="Q11" s="107">
        <f t="shared" si="2"/>
        <v>1095</v>
      </c>
      <c r="R11" s="107"/>
      <c r="T11" s="119">
        <f>SUM(T7:T10)</f>
        <v>0</v>
      </c>
      <c r="U11" s="119">
        <f aca="true" t="shared" si="3" ref="U11:AD11">SUM(U7:U10)</f>
        <v>0</v>
      </c>
      <c r="V11" s="119">
        <f t="shared" si="3"/>
        <v>0</v>
      </c>
      <c r="W11" s="119">
        <f t="shared" si="3"/>
        <v>0</v>
      </c>
      <c r="X11" s="119">
        <f t="shared" si="3"/>
        <v>0</v>
      </c>
      <c r="Y11" s="119">
        <f t="shared" si="3"/>
        <v>0</v>
      </c>
      <c r="Z11" s="119">
        <f t="shared" si="3"/>
        <v>0</v>
      </c>
      <c r="AA11" s="119">
        <f t="shared" si="3"/>
        <v>15000</v>
      </c>
      <c r="AB11" s="119">
        <f t="shared" si="3"/>
        <v>24000</v>
      </c>
      <c r="AC11" s="119">
        <f t="shared" si="3"/>
        <v>32000</v>
      </c>
      <c r="AD11" s="119">
        <f t="shared" si="3"/>
        <v>40000</v>
      </c>
    </row>
    <row r="12" spans="1:18" ht="15">
      <c r="A12" s="123" t="s">
        <v>34</v>
      </c>
      <c r="B12" s="107"/>
      <c r="C12" s="107"/>
      <c r="D12" s="107"/>
      <c r="E12" s="107"/>
      <c r="F12" s="107"/>
      <c r="G12" s="107">
        <v>2333</v>
      </c>
      <c r="H12" s="107">
        <v>1807</v>
      </c>
      <c r="I12" s="107">
        <v>2016</v>
      </c>
      <c r="J12" s="13">
        <v>1676</v>
      </c>
      <c r="K12" s="628">
        <f>922+75</f>
        <v>997</v>
      </c>
      <c r="L12" s="628">
        <f>935+77</f>
        <v>1012</v>
      </c>
      <c r="M12" s="628">
        <f>949+79</f>
        <v>1028</v>
      </c>
      <c r="N12" s="628">
        <f>964+81</f>
        <v>1045</v>
      </c>
      <c r="O12" s="628">
        <f>978+83</f>
        <v>1061</v>
      </c>
      <c r="P12" s="628">
        <f>993+85</f>
        <v>1078</v>
      </c>
      <c r="Q12" s="628">
        <f>1008+87</f>
        <v>1095</v>
      </c>
      <c r="R12" s="107"/>
    </row>
    <row r="13" spans="1:19" ht="15">
      <c r="A13" s="115" t="s">
        <v>25</v>
      </c>
      <c r="B13" s="107">
        <f>B14+B15</f>
        <v>102257</v>
      </c>
      <c r="C13" s="107">
        <f>C14+C15</f>
        <v>187973</v>
      </c>
      <c r="D13" s="107">
        <f>D14+D15</f>
        <v>205771</v>
      </c>
      <c r="E13" s="107">
        <f>E14+E15</f>
        <v>22871</v>
      </c>
      <c r="F13" s="107">
        <f>F14+F15</f>
        <v>30966</v>
      </c>
      <c r="G13" s="107">
        <f aca="true" t="shared" si="4" ref="G13:L13">G14+G15</f>
        <v>14906</v>
      </c>
      <c r="H13" s="107">
        <f t="shared" si="4"/>
        <v>7913</v>
      </c>
      <c r="I13" s="107">
        <f t="shared" si="4"/>
        <v>5974</v>
      </c>
      <c r="J13" s="13">
        <v>4828</v>
      </c>
      <c r="K13" s="107">
        <f t="shared" si="4"/>
        <v>4538</v>
      </c>
      <c r="L13" s="107">
        <f t="shared" si="4"/>
        <v>4643</v>
      </c>
      <c r="M13" s="107">
        <f>M14+M15</f>
        <v>4745</v>
      </c>
      <c r="N13" s="107">
        <f>N14+N15</f>
        <v>4849</v>
      </c>
      <c r="O13" s="107">
        <f>O14+O15</f>
        <v>4956</v>
      </c>
      <c r="P13" s="107">
        <f>P14+P15</f>
        <v>5074</v>
      </c>
      <c r="Q13" s="107">
        <f>Q14+Q15</f>
        <v>5176</v>
      </c>
      <c r="R13" s="107"/>
      <c r="S13" s="116"/>
    </row>
    <row r="14" spans="1:30" ht="15">
      <c r="A14" s="114" t="s">
        <v>18</v>
      </c>
      <c r="B14" s="107">
        <f>3421-B18-21-625-583+81</f>
        <v>1332</v>
      </c>
      <c r="C14" s="107">
        <v>945</v>
      </c>
      <c r="D14" s="107">
        <f>1759+90</f>
        <v>1849</v>
      </c>
      <c r="E14" s="107">
        <f>1195+86</f>
        <v>1281</v>
      </c>
      <c r="F14" s="107">
        <f>4633+483</f>
        <v>5116</v>
      </c>
      <c r="G14" s="107">
        <f>2800+86+349+342+731</f>
        <v>4308</v>
      </c>
      <c r="H14" s="107">
        <v>1751</v>
      </c>
      <c r="I14" s="107">
        <f>2830+37</f>
        <v>2867</v>
      </c>
      <c r="J14" s="13">
        <v>2666</v>
      </c>
      <c r="K14" s="396">
        <f>INT(2870*1.018+0.5)</f>
        <v>2922</v>
      </c>
      <c r="L14" s="396">
        <f aca="true" t="shared" si="5" ref="L14:Q14">INT(K14*1.022+0.5)</f>
        <v>2986</v>
      </c>
      <c r="M14" s="396">
        <f t="shared" si="5"/>
        <v>3052</v>
      </c>
      <c r="N14" s="396">
        <f t="shared" si="5"/>
        <v>3119</v>
      </c>
      <c r="O14" s="396">
        <f t="shared" si="5"/>
        <v>3188</v>
      </c>
      <c r="P14" s="396">
        <f t="shared" si="5"/>
        <v>3258</v>
      </c>
      <c r="Q14" s="396">
        <f t="shared" si="5"/>
        <v>3330</v>
      </c>
      <c r="R14" s="107"/>
      <c r="T14" s="117">
        <v>2012</v>
      </c>
      <c r="U14" s="117">
        <v>2013</v>
      </c>
      <c r="V14" s="117">
        <v>2014</v>
      </c>
      <c r="W14" s="117">
        <v>2015</v>
      </c>
      <c r="X14" s="117">
        <v>2016</v>
      </c>
      <c r="Y14" s="117" t="s">
        <v>113</v>
      </c>
      <c r="Z14" s="117" t="s">
        <v>344</v>
      </c>
      <c r="AA14" s="117" t="s">
        <v>345</v>
      </c>
      <c r="AB14" s="117" t="s">
        <v>346</v>
      </c>
      <c r="AC14" s="117" t="s">
        <v>347</v>
      </c>
      <c r="AD14" s="117" t="s">
        <v>348</v>
      </c>
    </row>
    <row r="15" spans="1:30" ht="15">
      <c r="A15" s="114" t="s">
        <v>22</v>
      </c>
      <c r="B15" s="107">
        <f>SUM(B16:B19)</f>
        <v>100925</v>
      </c>
      <c r="C15" s="107">
        <f>SUM(C16:C19)</f>
        <v>187028</v>
      </c>
      <c r="D15" s="107">
        <f>SUM(D16:D19)</f>
        <v>203922</v>
      </c>
      <c r="E15" s="107">
        <f>SUM(E16:E19)</f>
        <v>21590</v>
      </c>
      <c r="F15" s="107">
        <f>SUM(F16:F19)</f>
        <v>25850</v>
      </c>
      <c r="G15" s="107">
        <f aca="true" t="shared" si="6" ref="G15:Q15">SUM(G16:G19)</f>
        <v>10598</v>
      </c>
      <c r="H15" s="107">
        <f t="shared" si="6"/>
        <v>6162</v>
      </c>
      <c r="I15" s="107">
        <f t="shared" si="6"/>
        <v>3107</v>
      </c>
      <c r="J15" s="13">
        <v>2162</v>
      </c>
      <c r="K15" s="107">
        <f t="shared" si="6"/>
        <v>1616</v>
      </c>
      <c r="L15" s="107">
        <f t="shared" si="6"/>
        <v>1657</v>
      </c>
      <c r="M15" s="107">
        <f t="shared" si="6"/>
        <v>1693</v>
      </c>
      <c r="N15" s="107">
        <f t="shared" si="6"/>
        <v>1730</v>
      </c>
      <c r="O15" s="107">
        <f t="shared" si="6"/>
        <v>1768</v>
      </c>
      <c r="P15" s="107">
        <f t="shared" si="6"/>
        <v>1816</v>
      </c>
      <c r="Q15" s="107">
        <f t="shared" si="6"/>
        <v>1846</v>
      </c>
      <c r="R15" s="107"/>
      <c r="S15" s="118" t="s">
        <v>109</v>
      </c>
      <c r="T15" s="119"/>
      <c r="U15" s="119"/>
      <c r="V15" s="119"/>
      <c r="W15" s="119">
        <f>remont!D36</f>
        <v>6408</v>
      </c>
      <c r="X15" s="119">
        <f>remont!E36+parichen_potok!E80+parichen_potok!E81+parichen_potok!E82</f>
        <v>13903</v>
      </c>
      <c r="Y15" s="119">
        <f>remont!F36+parichen_potok!F80+parichen_potok!F81+parichen_potok!F82</f>
        <v>13889</v>
      </c>
      <c r="Z15" s="119">
        <f>remont!G36+parichen_potok!G80+parichen_potok!G81+parichen_potok!G82</f>
        <v>15675</v>
      </c>
      <c r="AA15" s="119">
        <f>remont!H36+parichen_potok!H80+parichen_potok!H81+parichen_potok!H82</f>
        <v>19631</v>
      </c>
      <c r="AB15" s="119">
        <f>remont!I36+parichen_potok!I80+parichen_potok!I81+parichen_potok!I82</f>
        <v>19561</v>
      </c>
      <c r="AC15" s="119">
        <f>remont!J36+parichen_potok!J80+parichen_potok!J81+parichen_potok!J82</f>
        <v>20139</v>
      </c>
      <c r="AD15" s="119">
        <f>remont!K36+parichen_potok!K80+parichen_potok!K81+parichen_potok!K82</f>
        <v>5095</v>
      </c>
    </row>
    <row r="16" spans="1:30" ht="14.25" hidden="1" outlineLevel="1">
      <c r="A16" s="123" t="s">
        <v>38</v>
      </c>
      <c r="B16" s="107"/>
      <c r="C16" s="107"/>
      <c r="D16" s="107"/>
      <c r="E16" s="107"/>
      <c r="F16" s="107"/>
      <c r="G16" s="107"/>
      <c r="H16" s="107"/>
      <c r="I16" s="107"/>
      <c r="J16" s="13">
        <v>0</v>
      </c>
      <c r="K16" s="107"/>
      <c r="L16" s="107"/>
      <c r="M16" s="107"/>
      <c r="N16" s="107"/>
      <c r="O16" s="107"/>
      <c r="P16" s="107"/>
      <c r="Q16" s="107"/>
      <c r="R16" s="107"/>
      <c r="T16" s="119"/>
      <c r="U16" s="119"/>
      <c r="V16" s="119"/>
      <c r="W16" s="119">
        <f>$W15/10/4</f>
        <v>160.2</v>
      </c>
      <c r="X16" s="119">
        <f aca="true" t="shared" si="7" ref="X16:AD16">$W15/10</f>
        <v>640.8</v>
      </c>
      <c r="Y16" s="119">
        <f t="shared" si="7"/>
        <v>640.8</v>
      </c>
      <c r="Z16" s="119">
        <f t="shared" si="7"/>
        <v>640.8</v>
      </c>
      <c r="AA16" s="119">
        <f t="shared" si="7"/>
        <v>640.8</v>
      </c>
      <c r="AB16" s="119">
        <f t="shared" si="7"/>
        <v>640.8</v>
      </c>
      <c r="AC16" s="119">
        <f t="shared" si="7"/>
        <v>640.8</v>
      </c>
      <c r="AD16" s="119">
        <f t="shared" si="7"/>
        <v>640.8</v>
      </c>
    </row>
    <row r="17" spans="1:30" ht="14.25" hidden="1" outlineLevel="1">
      <c r="A17" s="123" t="s">
        <v>33</v>
      </c>
      <c r="B17" s="107"/>
      <c r="C17" s="107"/>
      <c r="D17" s="107"/>
      <c r="E17" s="107"/>
      <c r="F17" s="107">
        <v>18795</v>
      </c>
      <c r="G17" s="107">
        <v>2775</v>
      </c>
      <c r="H17" s="107">
        <v>284</v>
      </c>
      <c r="I17" s="107">
        <v>396</v>
      </c>
      <c r="J17" s="13">
        <v>240</v>
      </c>
      <c r="K17" s="107"/>
      <c r="L17" s="107"/>
      <c r="M17" s="107"/>
      <c r="N17" s="107"/>
      <c r="O17" s="107"/>
      <c r="P17" s="107"/>
      <c r="Q17" s="107"/>
      <c r="R17" s="107"/>
      <c r="T17" s="119"/>
      <c r="U17" s="119"/>
      <c r="V17" s="119"/>
      <c r="W17" s="119"/>
      <c r="X17" s="119">
        <f>$X15/10/4</f>
        <v>347.575</v>
      </c>
      <c r="Y17" s="119">
        <f aca="true" t="shared" si="8" ref="Y17:AD17">$X15/10</f>
        <v>1390.3</v>
      </c>
      <c r="Z17" s="119">
        <f t="shared" si="8"/>
        <v>1390.3</v>
      </c>
      <c r="AA17" s="119">
        <f t="shared" si="8"/>
        <v>1390.3</v>
      </c>
      <c r="AB17" s="119">
        <f t="shared" si="8"/>
        <v>1390.3</v>
      </c>
      <c r="AC17" s="119">
        <f t="shared" si="8"/>
        <v>1390.3</v>
      </c>
      <c r="AD17" s="119">
        <f t="shared" si="8"/>
        <v>1390.3</v>
      </c>
    </row>
    <row r="18" spans="1:30" ht="14.25" hidden="1" outlineLevel="1">
      <c r="A18" s="123" t="s">
        <v>35</v>
      </c>
      <c r="B18" s="107">
        <v>941</v>
      </c>
      <c r="C18" s="107">
        <v>1970</v>
      </c>
      <c r="D18" s="107">
        <v>13963</v>
      </c>
      <c r="E18" s="107">
        <v>2157</v>
      </c>
      <c r="F18" s="107">
        <v>160</v>
      </c>
      <c r="G18" s="107">
        <v>233</v>
      </c>
      <c r="H18" s="107">
        <v>55</v>
      </c>
      <c r="I18" s="107"/>
      <c r="J18" s="13">
        <v>1047</v>
      </c>
      <c r="K18" s="628">
        <v>900</v>
      </c>
      <c r="L18" s="628">
        <v>950</v>
      </c>
      <c r="M18" s="628">
        <v>971</v>
      </c>
      <c r="N18" s="628">
        <v>992</v>
      </c>
      <c r="O18" s="628">
        <v>1014</v>
      </c>
      <c r="P18" s="628">
        <v>1036</v>
      </c>
      <c r="Q18" s="628">
        <v>1059</v>
      </c>
      <c r="R18" s="107"/>
      <c r="T18" s="119"/>
      <c r="U18" s="119"/>
      <c r="V18" s="119"/>
      <c r="W18" s="119"/>
      <c r="X18" s="119"/>
      <c r="Y18" s="119">
        <f>$Y15/10/4</f>
        <v>347.225</v>
      </c>
      <c r="Z18" s="119">
        <f>$Y15/10</f>
        <v>1388.9</v>
      </c>
      <c r="AA18" s="119">
        <f>$Y15/10</f>
        <v>1388.9</v>
      </c>
      <c r="AB18" s="119">
        <f>$Y15/10</f>
        <v>1388.9</v>
      </c>
      <c r="AC18" s="119">
        <f>$Y15/10</f>
        <v>1388.9</v>
      </c>
      <c r="AD18" s="119">
        <f>$Y15/10</f>
        <v>1388.9</v>
      </c>
    </row>
    <row r="19" spans="1:30" ht="14.25" hidden="1" outlineLevel="1">
      <c r="A19" s="123" t="s">
        <v>1</v>
      </c>
      <c r="B19" s="107">
        <f>625+583+21+98755</f>
        <v>99984</v>
      </c>
      <c r="C19" s="107">
        <f>1134+9960+822+173089+53</f>
        <v>185058</v>
      </c>
      <c r="D19" s="107">
        <f>187224+2735</f>
        <v>189959</v>
      </c>
      <c r="E19" s="107">
        <v>19433</v>
      </c>
      <c r="F19" s="107">
        <f>950+5945</f>
        <v>6895</v>
      </c>
      <c r="G19" s="107">
        <f>2088+5502</f>
        <v>7590</v>
      </c>
      <c r="H19" s="107">
        <v>5823</v>
      </c>
      <c r="I19" s="107">
        <f>1701+1010</f>
        <v>2711</v>
      </c>
      <c r="J19" s="13">
        <v>875</v>
      </c>
      <c r="K19" s="629">
        <v>716</v>
      </c>
      <c r="L19" s="629">
        <v>707</v>
      </c>
      <c r="M19" s="629">
        <v>722</v>
      </c>
      <c r="N19" s="629">
        <v>738</v>
      </c>
      <c r="O19" s="629">
        <v>754</v>
      </c>
      <c r="P19" s="629">
        <v>780</v>
      </c>
      <c r="Q19" s="629">
        <v>787</v>
      </c>
      <c r="R19" s="107"/>
      <c r="T19" s="119"/>
      <c r="U19" s="119"/>
      <c r="V19" s="119"/>
      <c r="W19" s="119"/>
      <c r="X19" s="119"/>
      <c r="Y19" s="119"/>
      <c r="Z19" s="119">
        <f>$Z15/10/4</f>
        <v>391.875</v>
      </c>
      <c r="AA19" s="119">
        <f>$Z15/10</f>
        <v>1567.5</v>
      </c>
      <c r="AB19" s="119">
        <f>$Z15/10</f>
        <v>1567.5</v>
      </c>
      <c r="AC19" s="119">
        <f>$Z15/10</f>
        <v>1567.5</v>
      </c>
      <c r="AD19" s="119">
        <f>$Z15/10</f>
        <v>1567.5</v>
      </c>
    </row>
    <row r="20" spans="1:30" ht="16.5" customHeight="1" collapsed="1">
      <c r="A20" s="104" t="s">
        <v>24</v>
      </c>
      <c r="B20" s="104"/>
      <c r="C20" s="104"/>
      <c r="D20" s="104"/>
      <c r="E20" s="104">
        <v>160000</v>
      </c>
      <c r="F20" s="104">
        <v>170000</v>
      </c>
      <c r="G20" s="104">
        <v>170000</v>
      </c>
      <c r="H20" s="104">
        <v>170000</v>
      </c>
      <c r="I20" s="104">
        <v>171331</v>
      </c>
      <c r="J20" s="621">
        <v>180000</v>
      </c>
      <c r="K20" s="104">
        <f>pass_zou!S129</f>
        <v>176942</v>
      </c>
      <c r="L20" s="104">
        <f>pass_zou!T129</f>
        <v>178426</v>
      </c>
      <c r="M20" s="104">
        <f>pass_zou!U129</f>
        <v>181718</v>
      </c>
      <c r="N20" s="104">
        <f>pass_zou!V129</f>
        <v>181733</v>
      </c>
      <c r="O20" s="104">
        <f>pass_zou!W129</f>
        <v>181444</v>
      </c>
      <c r="P20" s="104">
        <f>pass_zou!X129</f>
        <v>177855</v>
      </c>
      <c r="Q20" s="104">
        <f>pass_zou!Y129</f>
        <v>180806</v>
      </c>
      <c r="R20" s="107"/>
      <c r="T20" s="119"/>
      <c r="U20" s="119"/>
      <c r="V20" s="119"/>
      <c r="W20" s="119"/>
      <c r="X20" s="119"/>
      <c r="Y20" s="119"/>
      <c r="Z20" s="107"/>
      <c r="AA20" s="119">
        <f>$AA15/10/4</f>
        <v>490.775</v>
      </c>
      <c r="AB20" s="119">
        <f>$AA15/10</f>
        <v>1963.1</v>
      </c>
      <c r="AC20" s="119">
        <f>$AA15/10</f>
        <v>1963.1</v>
      </c>
      <c r="AD20" s="119">
        <f>$AA15/10</f>
        <v>1963.1</v>
      </c>
    </row>
    <row r="21" spans="1:30" ht="15">
      <c r="A21" s="120" t="s">
        <v>13</v>
      </c>
      <c r="B21" s="120">
        <f>B7+B13+B20</f>
        <v>102257</v>
      </c>
      <c r="C21" s="120">
        <f>C7+C13+C20</f>
        <v>188023</v>
      </c>
      <c r="D21" s="120">
        <f>D7+D13+D20</f>
        <v>205771</v>
      </c>
      <c r="E21" s="120">
        <f>E7+E13+E20</f>
        <v>258118</v>
      </c>
      <c r="F21" s="120">
        <f>F7+F13+F20</f>
        <v>282557</v>
      </c>
      <c r="G21" s="120">
        <f aca="true" t="shared" si="9" ref="G21:Q21">G7+G13+G20</f>
        <v>264598</v>
      </c>
      <c r="H21" s="120">
        <f t="shared" si="9"/>
        <v>253620</v>
      </c>
      <c r="I21" s="120">
        <f t="shared" si="9"/>
        <v>247501</v>
      </c>
      <c r="J21" s="622">
        <v>254633</v>
      </c>
      <c r="K21" s="120">
        <f t="shared" si="9"/>
        <v>255486</v>
      </c>
      <c r="L21" s="120">
        <f t="shared" si="9"/>
        <v>258772</v>
      </c>
      <c r="M21" s="120">
        <f t="shared" si="9"/>
        <v>264529</v>
      </c>
      <c r="N21" s="120">
        <f t="shared" si="9"/>
        <v>268985</v>
      </c>
      <c r="O21" s="120">
        <f t="shared" si="9"/>
        <v>273539</v>
      </c>
      <c r="P21" s="120">
        <f t="shared" si="9"/>
        <v>274772</v>
      </c>
      <c r="Q21" s="120">
        <f t="shared" si="9"/>
        <v>283247</v>
      </c>
      <c r="R21" s="107"/>
      <c r="T21" s="119"/>
      <c r="U21" s="119"/>
      <c r="V21" s="119"/>
      <c r="W21" s="119"/>
      <c r="X21" s="119"/>
      <c r="Y21" s="119"/>
      <c r="Z21" s="107"/>
      <c r="AA21" s="119"/>
      <c r="AB21" s="119">
        <f>AB15/10/4</f>
        <v>489.025</v>
      </c>
      <c r="AC21" s="119">
        <f>AC15/10</f>
        <v>2013.9</v>
      </c>
      <c r="AD21" s="119">
        <f>AD15/10</f>
        <v>509.5</v>
      </c>
    </row>
    <row r="22" spans="1:30" ht="15">
      <c r="A22" s="107"/>
      <c r="B22" s="107"/>
      <c r="C22" s="107"/>
      <c r="D22" s="107"/>
      <c r="E22" s="107"/>
      <c r="F22" s="107"/>
      <c r="G22" s="107"/>
      <c r="H22" s="107"/>
      <c r="I22" s="369"/>
      <c r="J22" s="13"/>
      <c r="K22" s="107"/>
      <c r="L22" s="107"/>
      <c r="M22" s="107"/>
      <c r="N22" s="107"/>
      <c r="O22" s="107"/>
      <c r="P22" s="107"/>
      <c r="Q22" s="107"/>
      <c r="R22" s="107"/>
      <c r="T22" s="119"/>
      <c r="U22" s="119"/>
      <c r="V22" s="119"/>
      <c r="W22" s="119"/>
      <c r="X22" s="119"/>
      <c r="Y22" s="119"/>
      <c r="Z22" s="107"/>
      <c r="AA22" s="119"/>
      <c r="AB22" s="119"/>
      <c r="AC22" s="119">
        <f>$AC15/10/4</f>
        <v>503.475</v>
      </c>
      <c r="AD22" s="119">
        <f>$AC15/10</f>
        <v>2013.9</v>
      </c>
    </row>
    <row r="23" spans="1:30" ht="15">
      <c r="A23" s="120" t="s">
        <v>6</v>
      </c>
      <c r="B23" s="120">
        <f aca="true" t="shared" si="10" ref="B23:G23">B24+SUM(B27:B30)+SUM(B44:B47)+B52</f>
        <v>101540</v>
      </c>
      <c r="C23" s="120">
        <f t="shared" si="10"/>
        <v>189502</v>
      </c>
      <c r="D23" s="120">
        <f t="shared" si="10"/>
        <v>216004</v>
      </c>
      <c r="E23" s="120">
        <f t="shared" si="10"/>
        <v>272410</v>
      </c>
      <c r="F23" s="120">
        <f t="shared" si="10"/>
        <v>250618</v>
      </c>
      <c r="G23" s="120">
        <f t="shared" si="10"/>
        <v>185779</v>
      </c>
      <c r="H23" s="104">
        <f>+H25+SUM(H27:H30)+SUM(H44:H47)+H52</f>
        <v>180789</v>
      </c>
      <c r="I23" s="104">
        <f>+I25+SUM(I27:I30)+SUM(I44:I45)+I47+I52</f>
        <v>189626</v>
      </c>
      <c r="J23" s="621">
        <v>203536</v>
      </c>
      <c r="K23" s="104">
        <f>+K25+SUM(K27:K30)+SUM(K44:K47)+K52</f>
        <v>204789</v>
      </c>
      <c r="L23" s="104">
        <f aca="true" t="shared" si="11" ref="L23:Q23">+L25+SUM(L27:L30)+SUM(L44:L47)+L52</f>
        <v>205490</v>
      </c>
      <c r="M23" s="104">
        <f t="shared" si="11"/>
        <v>207922</v>
      </c>
      <c r="N23" s="104">
        <f t="shared" si="11"/>
        <v>209595</v>
      </c>
      <c r="O23" s="104">
        <f t="shared" si="11"/>
        <v>210287</v>
      </c>
      <c r="P23" s="104">
        <f t="shared" si="11"/>
        <v>215643</v>
      </c>
      <c r="Q23" s="104">
        <f t="shared" si="11"/>
        <v>220543</v>
      </c>
      <c r="R23" s="107"/>
      <c r="T23" s="119"/>
      <c r="U23" s="119"/>
      <c r="V23" s="119"/>
      <c r="W23" s="119"/>
      <c r="X23" s="119"/>
      <c r="Y23" s="191"/>
      <c r="Z23" s="191"/>
      <c r="AA23" s="192"/>
      <c r="AB23" s="192"/>
      <c r="AC23" s="192"/>
      <c r="AD23" s="192">
        <f>AD15/10/4</f>
        <v>127.375</v>
      </c>
    </row>
    <row r="24" spans="1:30" ht="15">
      <c r="A24" s="121" t="s">
        <v>26</v>
      </c>
      <c r="B24" s="107">
        <f>B25+B26</f>
        <v>3114</v>
      </c>
      <c r="C24" s="107">
        <f>C25+C26</f>
        <v>4208</v>
      </c>
      <c r="D24" s="107">
        <f>D25+D26</f>
        <v>4049</v>
      </c>
      <c r="E24" s="107">
        <f>E25+E26</f>
        <v>3817</v>
      </c>
      <c r="F24" s="107">
        <f>F25+F26</f>
        <v>5979</v>
      </c>
      <c r="G24" s="107">
        <f aca="true" t="shared" si="12" ref="G24:L24">G25+G26</f>
        <v>6585</v>
      </c>
      <c r="H24" s="107">
        <f t="shared" si="12"/>
        <v>7427</v>
      </c>
      <c r="I24" s="107">
        <f t="shared" si="12"/>
        <v>7180</v>
      </c>
      <c r="J24" s="13">
        <v>11450</v>
      </c>
      <c r="K24" s="107">
        <f t="shared" si="12"/>
        <v>11602</v>
      </c>
      <c r="L24" s="107">
        <f t="shared" si="12"/>
        <v>11857</v>
      </c>
      <c r="M24" s="107">
        <f>M25+M26</f>
        <v>12118</v>
      </c>
      <c r="N24" s="107">
        <f>N25+N26</f>
        <v>12385</v>
      </c>
      <c r="O24" s="107">
        <f>O25+O26</f>
        <v>12657</v>
      </c>
      <c r="P24" s="107">
        <f>P25+P26</f>
        <v>12935</v>
      </c>
      <c r="Q24" s="107">
        <f>Q25+Q26</f>
        <v>13220</v>
      </c>
      <c r="R24" s="107"/>
      <c r="T24" s="122">
        <f aca="true" t="shared" si="13" ref="T24:AD24">INT(SUM(T16:T23)+0.5)</f>
        <v>0</v>
      </c>
      <c r="U24" s="122">
        <f t="shared" si="13"/>
        <v>0</v>
      </c>
      <c r="V24" s="122">
        <f t="shared" si="13"/>
        <v>0</v>
      </c>
      <c r="W24" s="122">
        <f t="shared" si="13"/>
        <v>160</v>
      </c>
      <c r="X24" s="122">
        <f t="shared" si="13"/>
        <v>988</v>
      </c>
      <c r="Y24" s="119">
        <f t="shared" si="13"/>
        <v>2378</v>
      </c>
      <c r="Z24" s="119">
        <f t="shared" si="13"/>
        <v>3812</v>
      </c>
      <c r="AA24" s="119">
        <f t="shared" si="13"/>
        <v>5478</v>
      </c>
      <c r="AB24" s="119">
        <f t="shared" si="13"/>
        <v>7440</v>
      </c>
      <c r="AC24" s="119">
        <f t="shared" si="13"/>
        <v>9468</v>
      </c>
      <c r="AD24" s="119">
        <f t="shared" si="13"/>
        <v>9601</v>
      </c>
    </row>
    <row r="25" spans="1:18" ht="15" outlineLevel="1">
      <c r="A25" s="114" t="s">
        <v>23</v>
      </c>
      <c r="B25" s="107">
        <v>3114</v>
      </c>
      <c r="C25" s="107">
        <v>4207</v>
      </c>
      <c r="D25" s="107">
        <v>4049</v>
      </c>
      <c r="E25" s="107">
        <v>3817</v>
      </c>
      <c r="F25" s="107">
        <v>5979</v>
      </c>
      <c r="G25" s="107">
        <v>6585</v>
      </c>
      <c r="H25" s="107">
        <v>7427</v>
      </c>
      <c r="I25" s="107">
        <v>7180</v>
      </c>
      <c r="J25" s="13">
        <v>10826</v>
      </c>
      <c r="K25" s="396">
        <f>INT((J25+J26)*1.018+0.5)-44-10</f>
        <v>11602</v>
      </c>
      <c r="L25" s="396">
        <f aca="true" t="shared" si="14" ref="L25:Q25">INT(K25*1.022+0.5)</f>
        <v>11857</v>
      </c>
      <c r="M25" s="396">
        <f t="shared" si="14"/>
        <v>12118</v>
      </c>
      <c r="N25" s="396">
        <f t="shared" si="14"/>
        <v>12385</v>
      </c>
      <c r="O25" s="396">
        <f t="shared" si="14"/>
        <v>12657</v>
      </c>
      <c r="P25" s="396">
        <f t="shared" si="14"/>
        <v>12935</v>
      </c>
      <c r="Q25" s="396">
        <f t="shared" si="14"/>
        <v>13220</v>
      </c>
      <c r="R25" s="107"/>
    </row>
    <row r="26" spans="1:30" ht="15" outlineLevel="1">
      <c r="A26" s="114" t="s">
        <v>22</v>
      </c>
      <c r="B26" s="107"/>
      <c r="C26" s="107">
        <v>1</v>
      </c>
      <c r="D26" s="107"/>
      <c r="E26" s="107"/>
      <c r="F26" s="107"/>
      <c r="G26" s="107"/>
      <c r="H26" s="107"/>
      <c r="I26" s="107"/>
      <c r="J26" s="13">
        <v>624</v>
      </c>
      <c r="K26" s="107"/>
      <c r="L26" s="107"/>
      <c r="M26" s="107"/>
      <c r="N26" s="107"/>
      <c r="O26" s="107"/>
      <c r="P26" s="107"/>
      <c r="Q26" s="107"/>
      <c r="R26" s="107"/>
      <c r="T26" s="117">
        <v>2012</v>
      </c>
      <c r="U26" s="117">
        <v>2013</v>
      </c>
      <c r="V26" s="117">
        <v>2014</v>
      </c>
      <c r="W26" s="117">
        <v>2015</v>
      </c>
      <c r="X26" s="117">
        <v>2016</v>
      </c>
      <c r="Y26" s="117" t="s">
        <v>113</v>
      </c>
      <c r="Z26" s="117" t="s">
        <v>344</v>
      </c>
      <c r="AA26" s="117" t="s">
        <v>345</v>
      </c>
      <c r="AB26" s="117" t="s">
        <v>346</v>
      </c>
      <c r="AC26" s="117" t="s">
        <v>347</v>
      </c>
      <c r="AD26" s="117" t="s">
        <v>348</v>
      </c>
    </row>
    <row r="27" spans="1:30" ht="15">
      <c r="A27" s="121" t="s">
        <v>27</v>
      </c>
      <c r="B27" s="107">
        <v>320</v>
      </c>
      <c r="C27" s="107">
        <v>630</v>
      </c>
      <c r="D27" s="107">
        <v>434</v>
      </c>
      <c r="E27" s="107">
        <v>334</v>
      </c>
      <c r="F27" s="107">
        <v>13293</v>
      </c>
      <c r="G27" s="107">
        <v>12683</v>
      </c>
      <c r="H27" s="107">
        <v>10539</v>
      </c>
      <c r="I27" s="107">
        <v>10221</v>
      </c>
      <c r="J27" s="13">
        <v>9603</v>
      </c>
      <c r="K27" s="107">
        <f>INT('G i E'!X80/1000+0.5)</f>
        <v>8742</v>
      </c>
      <c r="L27" s="107">
        <f>INT('G i E'!Y80/1000+0.5)</f>
        <v>9066</v>
      </c>
      <c r="M27" s="107">
        <f>INT('G i E'!Z80/1000+0.5)</f>
        <v>9397</v>
      </c>
      <c r="N27" s="107">
        <f>INT('G i E'!AA80/1000+0.5)</f>
        <v>9872</v>
      </c>
      <c r="O27" s="107">
        <f>INT('G i E'!AB80/1000+0.5)</f>
        <v>9939</v>
      </c>
      <c r="P27" s="107">
        <f>INT('G i E'!AC80/1000+0.5)</f>
        <v>10304</v>
      </c>
      <c r="Q27" s="107">
        <f>INT('G i E'!AD80/1000+0.5)</f>
        <v>10683</v>
      </c>
      <c r="R27" s="107"/>
      <c r="S27" s="118" t="s">
        <v>110</v>
      </c>
      <c r="T27" s="119"/>
      <c r="U27" s="119"/>
      <c r="V27" s="119"/>
      <c r="W27" s="119">
        <f>remont!D11</f>
        <v>14530</v>
      </c>
      <c r="X27" s="119">
        <f>remont!E11</f>
        <v>12682</v>
      </c>
      <c r="Y27" s="119">
        <f>remont!F11</f>
        <v>13312</v>
      </c>
      <c r="Z27" s="119">
        <f>remont!G11</f>
        <v>13144</v>
      </c>
      <c r="AA27" s="119">
        <f>remont!H11</f>
        <v>12960</v>
      </c>
      <c r="AB27" s="119">
        <f>remont!I11</f>
        <v>8360</v>
      </c>
      <c r="AC27" s="119">
        <f>remont!J11</f>
        <v>6048</v>
      </c>
      <c r="AD27" s="119">
        <f>remont!K11</f>
        <v>4560</v>
      </c>
    </row>
    <row r="28" spans="1:30" ht="15">
      <c r="A28" s="121" t="s">
        <v>29</v>
      </c>
      <c r="B28" s="107">
        <v>802</v>
      </c>
      <c r="C28" s="107">
        <v>1505</v>
      </c>
      <c r="D28" s="107">
        <v>1446</v>
      </c>
      <c r="E28" s="107">
        <v>1345</v>
      </c>
      <c r="F28" s="107">
        <v>13392</v>
      </c>
      <c r="G28" s="107">
        <v>17663</v>
      </c>
      <c r="H28" s="107">
        <v>26420</v>
      </c>
      <c r="I28" s="107">
        <v>34866</v>
      </c>
      <c r="J28" s="13">
        <v>38604</v>
      </c>
      <c r="K28" s="107">
        <f>INT('G i E'!X34/1000+0.5)</f>
        <v>40875</v>
      </c>
      <c r="L28" s="107">
        <f>INT('G i E'!Y34/1000+0.5)</f>
        <v>42186</v>
      </c>
      <c r="M28" s="107">
        <f>INT('G i E'!Z34/1000+0.5)</f>
        <v>43392</v>
      </c>
      <c r="N28" s="107">
        <f>INT('G i E'!AA34/1000+0.5)</f>
        <v>38663</v>
      </c>
      <c r="O28" s="107">
        <f>INT('G i E'!AB34/1000+0.5)</f>
        <v>36939</v>
      </c>
      <c r="P28" s="107">
        <f>INT('G i E'!AC34/1000+0.5)</f>
        <v>36339</v>
      </c>
      <c r="Q28" s="107">
        <f>INT('G i E'!AD34/1000+0.5)</f>
        <v>34712</v>
      </c>
      <c r="R28" s="107"/>
      <c r="S28" s="124"/>
      <c r="T28" s="119"/>
      <c r="U28" s="119"/>
      <c r="V28" s="119"/>
      <c r="W28" s="119">
        <f>$W27/10/4</f>
        <v>363.25</v>
      </c>
      <c r="X28" s="119">
        <f>$W27/10</f>
        <v>1453</v>
      </c>
      <c r="Y28" s="119">
        <f aca="true" t="shared" si="15" ref="Y28:AD28">$W27/10</f>
        <v>1453</v>
      </c>
      <c r="Z28" s="119">
        <f t="shared" si="15"/>
        <v>1453</v>
      </c>
      <c r="AA28" s="119">
        <f t="shared" si="15"/>
        <v>1453</v>
      </c>
      <c r="AB28" s="119">
        <f t="shared" si="15"/>
        <v>1453</v>
      </c>
      <c r="AC28" s="119">
        <f t="shared" si="15"/>
        <v>1453</v>
      </c>
      <c r="AD28" s="119">
        <f t="shared" si="15"/>
        <v>1453</v>
      </c>
    </row>
    <row r="29" spans="1:30" ht="15">
      <c r="A29" s="121" t="s">
        <v>28</v>
      </c>
      <c r="B29" s="107">
        <v>57</v>
      </c>
      <c r="C29" s="107">
        <v>150</v>
      </c>
      <c r="D29" s="107">
        <v>180</v>
      </c>
      <c r="E29" s="107">
        <v>184</v>
      </c>
      <c r="F29" s="107">
        <v>291</v>
      </c>
      <c r="G29" s="107">
        <v>453</v>
      </c>
      <c r="H29" s="107">
        <v>426</v>
      </c>
      <c r="I29" s="107">
        <v>396</v>
      </c>
      <c r="J29" s="13">
        <v>350</v>
      </c>
      <c r="K29" s="107">
        <f>INT('G i E'!X35/1000+0.5)</f>
        <v>357</v>
      </c>
      <c r="L29" s="107">
        <f>INT('G i E'!Y35/1000+0.5)</f>
        <v>363</v>
      </c>
      <c r="M29" s="107">
        <f>INT('G i E'!Z35/1000+0.5)</f>
        <v>369</v>
      </c>
      <c r="N29" s="107">
        <f>INT('G i E'!AA35/1000+0.5)</f>
        <v>375</v>
      </c>
      <c r="O29" s="107">
        <f>INT('G i E'!AB35/1000+0.5)</f>
        <v>382</v>
      </c>
      <c r="P29" s="107">
        <f>INT('G i E'!AC35/1000+0.5)</f>
        <v>388</v>
      </c>
      <c r="Q29" s="107">
        <f>INT('G i E'!AD35/1000+0.5)</f>
        <v>395</v>
      </c>
      <c r="R29" s="107"/>
      <c r="S29" s="118"/>
      <c r="T29" s="119"/>
      <c r="U29" s="119"/>
      <c r="V29" s="119"/>
      <c r="W29" s="119"/>
      <c r="X29" s="119">
        <f>$X27/10/4</f>
        <v>317.05</v>
      </c>
      <c r="Y29" s="119">
        <f aca="true" t="shared" si="16" ref="Y29:AD29">$X27/10</f>
        <v>1268.2</v>
      </c>
      <c r="Z29" s="119">
        <f t="shared" si="16"/>
        <v>1268.2</v>
      </c>
      <c r="AA29" s="119">
        <f t="shared" si="16"/>
        <v>1268.2</v>
      </c>
      <c r="AB29" s="119">
        <f t="shared" si="16"/>
        <v>1268.2</v>
      </c>
      <c r="AC29" s="119">
        <f t="shared" si="16"/>
        <v>1268.2</v>
      </c>
      <c r="AD29" s="119">
        <f t="shared" si="16"/>
        <v>1268.2</v>
      </c>
    </row>
    <row r="30" spans="1:30" ht="15">
      <c r="A30" s="121" t="s">
        <v>30</v>
      </c>
      <c r="B30" s="107">
        <f>B31+B38</f>
        <v>61643</v>
      </c>
      <c r="C30" s="107">
        <f>C31+C38</f>
        <v>125515</v>
      </c>
      <c r="D30" s="107">
        <f>D31+D38</f>
        <v>153225</v>
      </c>
      <c r="E30" s="107">
        <f>E31+E38</f>
        <v>214067</v>
      </c>
      <c r="F30" s="107">
        <f>F31+F38</f>
        <v>134090</v>
      </c>
      <c r="G30" s="107">
        <f aca="true" t="shared" si="17" ref="G30:L30">G31+G38</f>
        <v>62929</v>
      </c>
      <c r="H30" s="107">
        <f t="shared" si="17"/>
        <v>60345</v>
      </c>
      <c r="I30" s="107">
        <f t="shared" si="17"/>
        <v>54120</v>
      </c>
      <c r="J30" s="13">
        <v>60830</v>
      </c>
      <c r="K30" s="107">
        <f t="shared" si="17"/>
        <v>69848</v>
      </c>
      <c r="L30" s="107">
        <f t="shared" si="17"/>
        <v>70159</v>
      </c>
      <c r="M30" s="107">
        <f>M31+M38</f>
        <v>70984</v>
      </c>
      <c r="N30" s="107">
        <f>N31+N38</f>
        <v>72761</v>
      </c>
      <c r="O30" s="107">
        <f>O31+O38</f>
        <v>74349</v>
      </c>
      <c r="P30" s="107">
        <f>P31+P38</f>
        <v>76183</v>
      </c>
      <c r="Q30" s="107">
        <f>Q31+Q38</f>
        <v>78052</v>
      </c>
      <c r="R30" s="107"/>
      <c r="S30" s="119"/>
      <c r="T30" s="119"/>
      <c r="U30" s="119"/>
      <c r="V30" s="119"/>
      <c r="W30" s="119"/>
      <c r="X30" s="119"/>
      <c r="Y30" s="119">
        <f>$Y27/10/4</f>
        <v>332.8</v>
      </c>
      <c r="Z30" s="119">
        <f>$Y27/10</f>
        <v>1331.2</v>
      </c>
      <c r="AA30" s="119">
        <f>$Y27/10</f>
        <v>1331.2</v>
      </c>
      <c r="AB30" s="119">
        <f>$Y27/10</f>
        <v>1331.2</v>
      </c>
      <c r="AC30" s="119">
        <f>$Y27/10</f>
        <v>1331.2</v>
      </c>
      <c r="AD30" s="119">
        <f>$Y27/10</f>
        <v>1331.2</v>
      </c>
    </row>
    <row r="31" spans="1:30" ht="15">
      <c r="A31" s="114" t="s">
        <v>23</v>
      </c>
      <c r="B31" s="107">
        <f>SUM(B32:B37)</f>
        <v>6205</v>
      </c>
      <c r="C31" s="107">
        <f>SUM(C32:C37)</f>
        <v>9336</v>
      </c>
      <c r="D31" s="107">
        <f>SUM(D32:D37)</f>
        <v>20341</v>
      </c>
      <c r="E31" s="107">
        <f>SUM(E32:E37)</f>
        <v>43333</v>
      </c>
      <c r="F31" s="107">
        <f>SUM(F32:F37)</f>
        <v>55921</v>
      </c>
      <c r="G31" s="107">
        <f aca="true" t="shared" si="18" ref="G31:L31">SUM(G32:G37)</f>
        <v>59402</v>
      </c>
      <c r="H31" s="107">
        <f t="shared" si="18"/>
        <v>57397</v>
      </c>
      <c r="I31" s="107">
        <f t="shared" si="18"/>
        <v>50221</v>
      </c>
      <c r="J31" s="13">
        <v>58208</v>
      </c>
      <c r="K31" s="107">
        <f t="shared" si="18"/>
        <v>68283</v>
      </c>
      <c r="L31" s="107">
        <f t="shared" si="18"/>
        <v>68571</v>
      </c>
      <c r="M31" s="107">
        <f>SUM(M32:M37)</f>
        <v>69372</v>
      </c>
      <c r="N31" s="107">
        <f>SUM(N32:N37)</f>
        <v>71125</v>
      </c>
      <c r="O31" s="107">
        <f>SUM(O32:O37)</f>
        <v>72688</v>
      </c>
      <c r="P31" s="107">
        <f>SUM(P32:P37)</f>
        <v>74496</v>
      </c>
      <c r="Q31" s="107">
        <f>SUM(Q32:Q37)</f>
        <v>76339</v>
      </c>
      <c r="R31" s="107"/>
      <c r="S31" s="119"/>
      <c r="T31" s="119"/>
      <c r="U31" s="119"/>
      <c r="V31" s="119"/>
      <c r="W31" s="119"/>
      <c r="X31" s="119"/>
      <c r="Y31" s="119"/>
      <c r="Z31" s="119">
        <f>$Z27/10/4</f>
        <v>328.6</v>
      </c>
      <c r="AA31" s="119">
        <f>$Z27/10</f>
        <v>1314.4</v>
      </c>
      <c r="AB31" s="119">
        <f>$Z27/10</f>
        <v>1314.4</v>
      </c>
      <c r="AC31" s="119">
        <f>$Z27/10</f>
        <v>1314.4</v>
      </c>
      <c r="AD31" s="119">
        <f>$Z27/10</f>
        <v>1314.4</v>
      </c>
    </row>
    <row r="32" spans="1:30" ht="15">
      <c r="A32" s="123" t="s">
        <v>36</v>
      </c>
      <c r="B32" s="107">
        <f>61643-B38-B34</f>
        <v>4241</v>
      </c>
      <c r="C32" s="107">
        <v>6350</v>
      </c>
      <c r="D32" s="107">
        <v>17587</v>
      </c>
      <c r="E32" s="107">
        <v>4477</v>
      </c>
      <c r="F32" s="107">
        <v>12182</v>
      </c>
      <c r="G32" s="107">
        <v>20978</v>
      </c>
      <c r="H32" s="107">
        <v>18778</v>
      </c>
      <c r="I32" s="107">
        <v>18069</v>
      </c>
      <c r="J32" s="13">
        <v>24384</v>
      </c>
      <c r="K32" s="629">
        <f>INT(J32*1.018+0.5)-303-203+1500</f>
        <v>25817</v>
      </c>
      <c r="L32" s="629">
        <f>INT(24823*1.022+0.5)+500</f>
        <v>25869</v>
      </c>
      <c r="M32" s="629">
        <f>INT(25369*1.022+0.5)+500</f>
        <v>26427</v>
      </c>
      <c r="N32" s="629">
        <f>INT(25927*1.022+0.5)+500+remont!H60</f>
        <v>28875</v>
      </c>
      <c r="O32" s="629">
        <f>INT(26497*1.022+0.5)+500+remont!I60</f>
        <v>30584</v>
      </c>
      <c r="P32" s="629">
        <f>INT(27080*1.022+0.5)+500+remont!J60</f>
        <v>32494</v>
      </c>
      <c r="Q32" s="629">
        <f>INT(27676*1.022+0.5)+500+remont!K60</f>
        <v>34418</v>
      </c>
      <c r="R32" s="107"/>
      <c r="S32" s="119"/>
      <c r="T32" s="119"/>
      <c r="U32" s="119"/>
      <c r="V32" s="119"/>
      <c r="W32" s="119"/>
      <c r="X32" s="119"/>
      <c r="Y32" s="119"/>
      <c r="Z32" s="107"/>
      <c r="AA32" s="119">
        <f>$AA27/10/4</f>
        <v>324</v>
      </c>
      <c r="AB32" s="119">
        <f>$AA27/10</f>
        <v>1296</v>
      </c>
      <c r="AC32" s="119">
        <f>$AA27/10</f>
        <v>1296</v>
      </c>
      <c r="AD32" s="119">
        <f>$AA27/10</f>
        <v>1296</v>
      </c>
    </row>
    <row r="33" spans="1:30" ht="15">
      <c r="A33" s="123" t="s">
        <v>40</v>
      </c>
      <c r="B33" s="107"/>
      <c r="C33" s="107"/>
      <c r="D33" s="107"/>
      <c r="E33" s="107">
        <v>35942</v>
      </c>
      <c r="F33" s="107">
        <v>40361</v>
      </c>
      <c r="G33" s="107">
        <v>35042</v>
      </c>
      <c r="H33" s="107">
        <v>35319</v>
      </c>
      <c r="I33" s="107">
        <v>29180</v>
      </c>
      <c r="J33" s="13">
        <v>30812</v>
      </c>
      <c r="K33" s="107">
        <f>INT('I Taxi'!E37/1000+0.5)</f>
        <v>31682</v>
      </c>
      <c r="L33" s="107">
        <f>INT('I Taxi'!F37/1000+0.5)</f>
        <v>31682</v>
      </c>
      <c r="M33" s="107">
        <f>INT('I Taxi'!G37/1000+0.5)</f>
        <v>31682</v>
      </c>
      <c r="N33" s="107">
        <f>INT('I Taxi'!H37/1000+0.5)</f>
        <v>30739</v>
      </c>
      <c r="O33" s="107">
        <f>INT('I Taxi'!I37/1000+0.5)</f>
        <v>30340</v>
      </c>
      <c r="P33" s="107">
        <f>INT('I Taxi'!J37/1000+0.5)</f>
        <v>29979</v>
      </c>
      <c r="Q33" s="107">
        <f>INT('I Taxi'!K37/1000+0.5)</f>
        <v>29633</v>
      </c>
      <c r="R33" s="107"/>
      <c r="S33" s="119"/>
      <c r="T33" s="119"/>
      <c r="U33" s="119"/>
      <c r="V33" s="119"/>
      <c r="W33" s="119"/>
      <c r="X33" s="119"/>
      <c r="Y33" s="119"/>
      <c r="Z33" s="107"/>
      <c r="AA33" s="119"/>
      <c r="AB33" s="119">
        <f>AB27/10/4</f>
        <v>209</v>
      </c>
      <c r="AC33" s="119">
        <f>AC27/10</f>
        <v>604.8</v>
      </c>
      <c r="AD33" s="119">
        <f>AD27/10</f>
        <v>456</v>
      </c>
    </row>
    <row r="34" spans="1:30" ht="15">
      <c r="A34" s="123" t="s">
        <v>39</v>
      </c>
      <c r="B34" s="107">
        <v>1964</v>
      </c>
      <c r="C34" s="107">
        <v>2979</v>
      </c>
      <c r="D34" s="107">
        <v>2754</v>
      </c>
      <c r="E34" s="107">
        <v>2914</v>
      </c>
      <c r="F34" s="107">
        <v>3378</v>
      </c>
      <c r="G34" s="107">
        <v>3382</v>
      </c>
      <c r="H34" s="107">
        <v>3300</v>
      </c>
      <c r="I34" s="107">
        <v>2972</v>
      </c>
      <c r="J34" s="13">
        <v>3012</v>
      </c>
      <c r="K34" s="396">
        <f>INT(J34*1.018+0.5)</f>
        <v>3066</v>
      </c>
      <c r="L34" s="396">
        <f aca="true" t="shared" si="19" ref="L34:Q36">INT(K34*1.022+0.5)</f>
        <v>3133</v>
      </c>
      <c r="M34" s="396">
        <f t="shared" si="19"/>
        <v>3202</v>
      </c>
      <c r="N34" s="396">
        <f t="shared" si="19"/>
        <v>3272</v>
      </c>
      <c r="O34" s="396">
        <f t="shared" si="19"/>
        <v>3344</v>
      </c>
      <c r="P34" s="396">
        <f t="shared" si="19"/>
        <v>3418</v>
      </c>
      <c r="Q34" s="396">
        <f t="shared" si="19"/>
        <v>3493</v>
      </c>
      <c r="R34" s="107"/>
      <c r="S34" s="119"/>
      <c r="T34" s="119"/>
      <c r="U34" s="119"/>
      <c r="V34" s="119"/>
      <c r="W34" s="119"/>
      <c r="X34" s="119"/>
      <c r="Y34" s="119"/>
      <c r="Z34" s="107"/>
      <c r="AA34" s="119"/>
      <c r="AB34" s="119"/>
      <c r="AC34" s="119">
        <f>$AC27/10/4</f>
        <v>151.2</v>
      </c>
      <c r="AD34" s="119">
        <f>$AC27/10</f>
        <v>604.8</v>
      </c>
    </row>
    <row r="35" spans="1:30" ht="15">
      <c r="A35" s="442" t="s">
        <v>615</v>
      </c>
      <c r="B35" s="107"/>
      <c r="C35" s="107"/>
      <c r="D35" s="107"/>
      <c r="E35" s="107"/>
      <c r="F35" s="107"/>
      <c r="G35" s="107"/>
      <c r="H35" s="107"/>
      <c r="I35" s="107"/>
      <c r="J35" s="13"/>
      <c r="K35" s="396">
        <f>INT(3146*1.018+0.5)</f>
        <v>3203</v>
      </c>
      <c r="L35" s="396">
        <f t="shared" si="19"/>
        <v>3273</v>
      </c>
      <c r="M35" s="396">
        <f t="shared" si="19"/>
        <v>3345</v>
      </c>
      <c r="N35" s="396">
        <f t="shared" si="19"/>
        <v>3419</v>
      </c>
      <c r="O35" s="396">
        <f t="shared" si="19"/>
        <v>3494</v>
      </c>
      <c r="P35" s="396">
        <f t="shared" si="19"/>
        <v>3571</v>
      </c>
      <c r="Q35" s="396">
        <f t="shared" si="19"/>
        <v>3650</v>
      </c>
      <c r="R35" s="107"/>
      <c r="S35" s="119"/>
      <c r="T35" s="119"/>
      <c r="U35" s="119"/>
      <c r="V35" s="119"/>
      <c r="W35" s="119"/>
      <c r="X35" s="119"/>
      <c r="Y35" s="119"/>
      <c r="Z35" s="107"/>
      <c r="AA35" s="119"/>
      <c r="AB35" s="119"/>
      <c r="AC35" s="119"/>
      <c r="AD35" s="119"/>
    </row>
    <row r="36" spans="1:30" ht="15">
      <c r="A36" s="442" t="s">
        <v>616</v>
      </c>
      <c r="B36" s="107"/>
      <c r="C36" s="107"/>
      <c r="D36" s="107"/>
      <c r="E36" s="107"/>
      <c r="F36" s="107"/>
      <c r="G36" s="107"/>
      <c r="H36" s="107"/>
      <c r="I36" s="107"/>
      <c r="J36" s="13"/>
      <c r="K36" s="396">
        <f>INT(4435*1.018+0.5)</f>
        <v>4515</v>
      </c>
      <c r="L36" s="396">
        <f t="shared" si="19"/>
        <v>4614</v>
      </c>
      <c r="M36" s="396">
        <f t="shared" si="19"/>
        <v>4716</v>
      </c>
      <c r="N36" s="396">
        <f t="shared" si="19"/>
        <v>4820</v>
      </c>
      <c r="O36" s="396">
        <f t="shared" si="19"/>
        <v>4926</v>
      </c>
      <c r="P36" s="396">
        <f t="shared" si="19"/>
        <v>5034</v>
      </c>
      <c r="Q36" s="396">
        <f t="shared" si="19"/>
        <v>5145</v>
      </c>
      <c r="R36" s="107"/>
      <c r="S36" s="119"/>
      <c r="T36" s="119"/>
      <c r="U36" s="119"/>
      <c r="V36" s="119"/>
      <c r="W36" s="119"/>
      <c r="X36" s="119"/>
      <c r="Y36" s="119"/>
      <c r="Z36" s="107"/>
      <c r="AA36" s="119"/>
      <c r="AB36" s="119"/>
      <c r="AC36" s="119"/>
      <c r="AD36" s="119"/>
    </row>
    <row r="37" spans="1:30" ht="14.25" hidden="1" outlineLevel="1">
      <c r="A37" s="123" t="s">
        <v>43</v>
      </c>
      <c r="B37" s="107"/>
      <c r="C37" s="107">
        <v>7</v>
      </c>
      <c r="D37" s="107"/>
      <c r="E37" s="107"/>
      <c r="F37" s="107"/>
      <c r="G37" s="107"/>
      <c r="H37" s="107"/>
      <c r="I37" s="107"/>
      <c r="J37" s="13"/>
      <c r="K37" s="107"/>
      <c r="L37" s="107"/>
      <c r="M37" s="107"/>
      <c r="N37" s="107"/>
      <c r="O37" s="107"/>
      <c r="P37" s="107"/>
      <c r="Q37" s="107"/>
      <c r="R37" s="107"/>
      <c r="S37" s="119"/>
      <c r="T37" s="119"/>
      <c r="U37" s="119"/>
      <c r="V37" s="119"/>
      <c r="W37" s="119"/>
      <c r="X37" s="119"/>
      <c r="Y37" s="191"/>
      <c r="Z37" s="191"/>
      <c r="AA37" s="192"/>
      <c r="AB37" s="192"/>
      <c r="AC37" s="192"/>
      <c r="AD37" s="192">
        <f>AD27/10/4</f>
        <v>114</v>
      </c>
    </row>
    <row r="38" spans="1:30" ht="15" collapsed="1">
      <c r="A38" s="114" t="s">
        <v>22</v>
      </c>
      <c r="B38" s="107">
        <f aca="true" t="shared" si="20" ref="B38:I38">SUM(B39:B43)</f>
        <v>55438</v>
      </c>
      <c r="C38" s="107">
        <f t="shared" si="20"/>
        <v>116179</v>
      </c>
      <c r="D38" s="107">
        <f t="shared" si="20"/>
        <v>132884</v>
      </c>
      <c r="E38" s="107">
        <f t="shared" si="20"/>
        <v>170734</v>
      </c>
      <c r="F38" s="107">
        <f t="shared" si="20"/>
        <v>78169</v>
      </c>
      <c r="G38" s="107">
        <f t="shared" si="20"/>
        <v>3527</v>
      </c>
      <c r="H38" s="107">
        <f t="shared" si="20"/>
        <v>2948</v>
      </c>
      <c r="I38" s="107">
        <f t="shared" si="20"/>
        <v>3899</v>
      </c>
      <c r="J38" s="13">
        <v>2622</v>
      </c>
      <c r="K38" s="107">
        <f aca="true" t="shared" si="21" ref="K38:Q38">SUM(K39:K43)</f>
        <v>1565</v>
      </c>
      <c r="L38" s="107">
        <f t="shared" si="21"/>
        <v>1588</v>
      </c>
      <c r="M38" s="107">
        <f t="shared" si="21"/>
        <v>1612</v>
      </c>
      <c r="N38" s="107">
        <f t="shared" si="21"/>
        <v>1636</v>
      </c>
      <c r="O38" s="107">
        <f t="shared" si="21"/>
        <v>1661</v>
      </c>
      <c r="P38" s="107">
        <f t="shared" si="21"/>
        <v>1687</v>
      </c>
      <c r="Q38" s="107">
        <f t="shared" si="21"/>
        <v>1713</v>
      </c>
      <c r="R38" s="107"/>
      <c r="S38" s="119"/>
      <c r="T38" s="122">
        <f>INT(SUM(T28:T30)+0.5)</f>
        <v>0</v>
      </c>
      <c r="U38" s="122">
        <f>INT(SUM(U28:U30)+0.5)</f>
        <v>0</v>
      </c>
      <c r="V38" s="122">
        <f>INT(SUM(V28:V30)+0.5)</f>
        <v>0</v>
      </c>
      <c r="W38" s="122">
        <f>INT(SUM(W28:W30)+0.5)</f>
        <v>363</v>
      </c>
      <c r="X38" s="122">
        <f>INT(SUM(X28:X30)+0.5)</f>
        <v>1770</v>
      </c>
      <c r="Y38" s="119">
        <f aca="true" t="shared" si="22" ref="Y38:AD38">INT(SUM(Y28:Y37)+0.5)</f>
        <v>3054</v>
      </c>
      <c r="Z38" s="119">
        <f t="shared" si="22"/>
        <v>4381</v>
      </c>
      <c r="AA38" s="119">
        <f t="shared" si="22"/>
        <v>5691</v>
      </c>
      <c r="AB38" s="119">
        <f t="shared" si="22"/>
        <v>6872</v>
      </c>
      <c r="AC38" s="119">
        <f t="shared" si="22"/>
        <v>7419</v>
      </c>
      <c r="AD38" s="119">
        <f t="shared" si="22"/>
        <v>7838</v>
      </c>
    </row>
    <row r="39" spans="1:30" ht="14.25" hidden="1" outlineLevel="1">
      <c r="A39" s="123" t="s">
        <v>38</v>
      </c>
      <c r="B39" s="107">
        <v>7355</v>
      </c>
      <c r="C39" s="107">
        <v>19099</v>
      </c>
      <c r="D39" s="107">
        <v>18669</v>
      </c>
      <c r="E39" s="107">
        <v>20098</v>
      </c>
      <c r="F39" s="107">
        <v>7392</v>
      </c>
      <c r="G39" s="107">
        <v>878</v>
      </c>
      <c r="H39" s="107">
        <v>829</v>
      </c>
      <c r="I39" s="107">
        <v>611</v>
      </c>
      <c r="J39" s="625">
        <v>180</v>
      </c>
      <c r="K39" s="396"/>
      <c r="L39" s="396"/>
      <c r="M39" s="396"/>
      <c r="N39" s="396"/>
      <c r="O39" s="396"/>
      <c r="P39" s="396"/>
      <c r="Q39" s="396"/>
      <c r="R39" s="107"/>
      <c r="S39" s="464" t="s">
        <v>617</v>
      </c>
      <c r="Y39" s="464">
        <v>300</v>
      </c>
      <c r="Z39" s="464">
        <v>300</v>
      </c>
      <c r="AA39" s="464">
        <v>300</v>
      </c>
      <c r="AB39" s="464">
        <v>300</v>
      </c>
      <c r="AC39" s="464">
        <v>300</v>
      </c>
      <c r="AD39" s="464">
        <v>300</v>
      </c>
    </row>
    <row r="40" spans="1:30" ht="14.25" hidden="1" outlineLevel="1">
      <c r="A40" s="123" t="s">
        <v>33</v>
      </c>
      <c r="B40" s="107">
        <v>47802</v>
      </c>
      <c r="C40" s="107">
        <v>89689</v>
      </c>
      <c r="D40" s="107">
        <v>104940</v>
      </c>
      <c r="E40" s="107">
        <v>143725</v>
      </c>
      <c r="F40" s="107">
        <v>63935</v>
      </c>
      <c r="G40" s="107">
        <v>1286</v>
      </c>
      <c r="H40" s="107">
        <v>442</v>
      </c>
      <c r="I40" s="107">
        <v>275</v>
      </c>
      <c r="J40" s="625">
        <v>300</v>
      </c>
      <c r="K40" s="629">
        <v>100</v>
      </c>
      <c r="L40" s="629">
        <v>100</v>
      </c>
      <c r="M40" s="629">
        <v>100</v>
      </c>
      <c r="N40" s="629">
        <v>100</v>
      </c>
      <c r="O40" s="629">
        <v>100</v>
      </c>
      <c r="P40" s="629">
        <v>100</v>
      </c>
      <c r="Q40" s="629">
        <v>100</v>
      </c>
      <c r="R40" s="107"/>
      <c r="S40" s="464" t="s">
        <v>617</v>
      </c>
      <c r="Y40" s="464"/>
      <c r="Z40" s="464"/>
      <c r="AA40" s="464">
        <v>300</v>
      </c>
      <c r="AB40" s="464">
        <v>300</v>
      </c>
      <c r="AC40" s="464">
        <v>300</v>
      </c>
      <c r="AD40" s="464">
        <v>300</v>
      </c>
    </row>
    <row r="41" spans="1:30" ht="14.25" hidden="1" outlineLevel="1">
      <c r="A41" s="123" t="s">
        <v>35</v>
      </c>
      <c r="B41" s="107"/>
      <c r="C41" s="107"/>
      <c r="D41" s="107"/>
      <c r="E41" s="107"/>
      <c r="F41" s="107"/>
      <c r="G41" s="107"/>
      <c r="H41" s="107"/>
      <c r="I41" s="107"/>
      <c r="J41" s="625">
        <v>0</v>
      </c>
      <c r="K41" s="13"/>
      <c r="L41" s="13"/>
      <c r="M41" s="13"/>
      <c r="N41" s="13"/>
      <c r="O41" s="13"/>
      <c r="P41" s="13"/>
      <c r="Q41" s="13"/>
      <c r="R41" s="107"/>
      <c r="S41" s="465" t="s">
        <v>618</v>
      </c>
      <c r="T41" s="191"/>
      <c r="U41" s="191"/>
      <c r="V41" s="191"/>
      <c r="W41" s="191"/>
      <c r="X41" s="191"/>
      <c r="Y41" s="465"/>
      <c r="Z41" s="465"/>
      <c r="AA41" s="465"/>
      <c r="AB41" s="465"/>
      <c r="AC41" s="465">
        <v>600</v>
      </c>
      <c r="AD41" s="465">
        <v>600</v>
      </c>
    </row>
    <row r="42" spans="1:30" ht="14.25" hidden="1" outlineLevel="1">
      <c r="A42" s="123" t="s">
        <v>1</v>
      </c>
      <c r="B42" s="107">
        <f>55438-47802-7355</f>
        <v>281</v>
      </c>
      <c r="C42" s="107">
        <f>4204+3187</f>
        <v>7391</v>
      </c>
      <c r="D42" s="107">
        <v>9275</v>
      </c>
      <c r="E42" s="107">
        <v>6911</v>
      </c>
      <c r="F42" s="107">
        <v>6842</v>
      </c>
      <c r="G42" s="107">
        <f>533+830</f>
        <v>1363</v>
      </c>
      <c r="H42" s="107">
        <v>1677</v>
      </c>
      <c r="I42" s="107">
        <v>3013</v>
      </c>
      <c r="J42" s="625">
        <v>1050</v>
      </c>
      <c r="K42" s="629">
        <v>400</v>
      </c>
      <c r="L42" s="629">
        <v>400</v>
      </c>
      <c r="M42" s="629">
        <v>400</v>
      </c>
      <c r="N42" s="629">
        <v>400</v>
      </c>
      <c r="O42" s="629">
        <v>400</v>
      </c>
      <c r="P42" s="629">
        <v>400</v>
      </c>
      <c r="Q42" s="629">
        <v>400</v>
      </c>
      <c r="R42" s="107"/>
      <c r="S42" s="463" t="s">
        <v>320</v>
      </c>
      <c r="Y42" s="106">
        <f aca="true" t="shared" si="23" ref="Y42:AD42">SUM(Y39:Y41)</f>
        <v>300</v>
      </c>
      <c r="Z42" s="106">
        <f t="shared" si="23"/>
        <v>300</v>
      </c>
      <c r="AA42" s="106">
        <f t="shared" si="23"/>
        <v>600</v>
      </c>
      <c r="AB42" s="106">
        <f t="shared" si="23"/>
        <v>600</v>
      </c>
      <c r="AC42" s="106">
        <f t="shared" si="23"/>
        <v>1200</v>
      </c>
      <c r="AD42" s="106">
        <f t="shared" si="23"/>
        <v>1200</v>
      </c>
    </row>
    <row r="43" spans="1:21" ht="14.25" hidden="1" outlineLevel="1">
      <c r="A43" s="616" t="s">
        <v>367</v>
      </c>
      <c r="B43" s="107"/>
      <c r="C43" s="107"/>
      <c r="D43" s="107"/>
      <c r="E43" s="107"/>
      <c r="F43" s="107"/>
      <c r="G43" s="107"/>
      <c r="H43" s="107"/>
      <c r="I43" s="107"/>
      <c r="J43" s="625">
        <v>1092</v>
      </c>
      <c r="K43" s="396">
        <f>INT(1046*1.018+0.5)</f>
        <v>1065</v>
      </c>
      <c r="L43" s="396">
        <f aca="true" t="shared" si="24" ref="L43:Q43">INT(K43*1.022+0.5)</f>
        <v>1088</v>
      </c>
      <c r="M43" s="396">
        <f t="shared" si="24"/>
        <v>1112</v>
      </c>
      <c r="N43" s="396">
        <f t="shared" si="24"/>
        <v>1136</v>
      </c>
      <c r="O43" s="396">
        <f t="shared" si="24"/>
        <v>1161</v>
      </c>
      <c r="P43" s="396">
        <f t="shared" si="24"/>
        <v>1187</v>
      </c>
      <c r="Q43" s="396">
        <f t="shared" si="24"/>
        <v>1213</v>
      </c>
      <c r="R43" s="107"/>
      <c r="U43" s="126"/>
    </row>
    <row r="44" spans="1:45" ht="15" collapsed="1">
      <c r="A44" s="121" t="s">
        <v>14</v>
      </c>
      <c r="B44" s="107">
        <v>21639</v>
      </c>
      <c r="C44" s="107">
        <v>40591</v>
      </c>
      <c r="D44" s="107">
        <v>41599</v>
      </c>
      <c r="E44" s="107">
        <v>38860</v>
      </c>
      <c r="F44" s="107">
        <v>59484</v>
      </c>
      <c r="G44" s="107">
        <v>56645</v>
      </c>
      <c r="H44" s="107">
        <v>54625</v>
      </c>
      <c r="I44" s="107">
        <v>59732</v>
      </c>
      <c r="J44" s="13">
        <v>60063</v>
      </c>
      <c r="K44" s="13">
        <f>zaplati!N30</f>
        <v>51357</v>
      </c>
      <c r="L44" s="107">
        <f>zaplati!N46</f>
        <v>51048</v>
      </c>
      <c r="M44" s="107">
        <f>zaplati!N62</f>
        <v>50752</v>
      </c>
      <c r="N44" s="107">
        <f>zaplati!N78</f>
        <v>52657</v>
      </c>
      <c r="O44" s="107">
        <f>zaplati!N94</f>
        <v>54137</v>
      </c>
      <c r="P44" s="107">
        <f>zaplati!N110</f>
        <v>56531</v>
      </c>
      <c r="Q44" s="107">
        <f>zaplati!N126</f>
        <v>59343</v>
      </c>
      <c r="R44" s="107"/>
      <c r="T44" s="117" t="s">
        <v>333</v>
      </c>
      <c r="U44" s="117">
        <v>2013</v>
      </c>
      <c r="V44" s="117">
        <v>2014</v>
      </c>
      <c r="W44" s="117">
        <v>2015</v>
      </c>
      <c r="X44" s="117">
        <v>2016</v>
      </c>
      <c r="Y44" s="117" t="s">
        <v>113</v>
      </c>
      <c r="Z44" s="117" t="s">
        <v>344</v>
      </c>
      <c r="AA44" s="117" t="s">
        <v>345</v>
      </c>
      <c r="AB44" s="117" t="s">
        <v>346</v>
      </c>
      <c r="AC44" s="117" t="s">
        <v>347</v>
      </c>
      <c r="AD44" s="117" t="s">
        <v>348</v>
      </c>
      <c r="AE44" s="117" t="s">
        <v>423</v>
      </c>
      <c r="AF44" s="117" t="s">
        <v>424</v>
      </c>
      <c r="AG44" s="117" t="s">
        <v>425</v>
      </c>
      <c r="AH44" s="405" t="s">
        <v>4</v>
      </c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</row>
    <row r="45" spans="1:35" ht="15">
      <c r="A45" s="647" t="s">
        <v>15</v>
      </c>
      <c r="B45" s="107">
        <v>10773</v>
      </c>
      <c r="C45" s="107">
        <v>11493</v>
      </c>
      <c r="D45" s="107">
        <v>10510</v>
      </c>
      <c r="E45" s="107">
        <v>10732</v>
      </c>
      <c r="F45" s="107">
        <v>19692</v>
      </c>
      <c r="G45" s="107">
        <v>17231</v>
      </c>
      <c r="H45" s="107">
        <v>16242</v>
      </c>
      <c r="I45" s="107">
        <v>18373</v>
      </c>
      <c r="J45" s="13">
        <v>18054</v>
      </c>
      <c r="K45" s="107">
        <f>INT(0.316*K44+0.5)-K46</f>
        <v>15377</v>
      </c>
      <c r="L45" s="107">
        <f aca="true" t="shared" si="25" ref="L45:Q45">INT(0.316*L44+0.5)-L46</f>
        <v>15251</v>
      </c>
      <c r="M45" s="107">
        <f t="shared" si="25"/>
        <v>15129</v>
      </c>
      <c r="N45" s="107">
        <f t="shared" si="25"/>
        <v>15703</v>
      </c>
      <c r="O45" s="107">
        <f t="shared" si="25"/>
        <v>16143</v>
      </c>
      <c r="P45" s="107">
        <f t="shared" si="25"/>
        <v>16868</v>
      </c>
      <c r="Q45" s="107">
        <f t="shared" si="25"/>
        <v>17721</v>
      </c>
      <c r="R45" s="125"/>
      <c r="S45" s="12" t="s">
        <v>430</v>
      </c>
      <c r="T45" s="12">
        <v>60000</v>
      </c>
      <c r="U45" s="11">
        <v>20000</v>
      </c>
      <c r="V45" s="11">
        <v>30000</v>
      </c>
      <c r="W45" s="11">
        <v>30000</v>
      </c>
      <c r="X45" s="11">
        <v>30000</v>
      </c>
      <c r="Y45" s="11">
        <v>30000</v>
      </c>
      <c r="Z45" s="11">
        <v>30000</v>
      </c>
      <c r="AA45" s="11">
        <v>30000</v>
      </c>
      <c r="AB45" s="11">
        <v>30000</v>
      </c>
      <c r="AC45" s="11">
        <v>30000</v>
      </c>
      <c r="AD45" s="11">
        <v>30000</v>
      </c>
      <c r="AE45" s="11"/>
      <c r="AF45" s="11"/>
      <c r="AH45" s="11"/>
      <c r="AI45" s="11"/>
    </row>
    <row r="46" spans="1:35" ht="14.25">
      <c r="A46" s="648" t="s">
        <v>635</v>
      </c>
      <c r="B46" s="107"/>
      <c r="C46" s="107"/>
      <c r="D46" s="107"/>
      <c r="E46" s="107"/>
      <c r="F46" s="107"/>
      <c r="G46" s="107"/>
      <c r="H46" s="107"/>
      <c r="I46" s="107"/>
      <c r="J46" s="625">
        <v>749</v>
      </c>
      <c r="K46" s="627">
        <v>852</v>
      </c>
      <c r="L46" s="627">
        <v>880</v>
      </c>
      <c r="M46" s="627">
        <v>909</v>
      </c>
      <c r="N46" s="627">
        <v>937</v>
      </c>
      <c r="O46" s="627">
        <v>964</v>
      </c>
      <c r="P46" s="627">
        <v>996</v>
      </c>
      <c r="Q46" s="627">
        <v>1031</v>
      </c>
      <c r="R46" s="125"/>
      <c r="S46" s="12"/>
      <c r="T46" s="1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H46" s="11"/>
      <c r="AI46" s="11"/>
    </row>
    <row r="47" spans="1:52" ht="14.25">
      <c r="A47" s="121" t="s">
        <v>336</v>
      </c>
      <c r="B47" s="107">
        <f>B48+B49</f>
        <v>3236</v>
      </c>
      <c r="C47" s="107">
        <f>C48+C49</f>
        <v>5348</v>
      </c>
      <c r="D47" s="107">
        <f>D48+D49</f>
        <v>5253</v>
      </c>
      <c r="E47" s="107">
        <f>E48+E49</f>
        <v>3529</v>
      </c>
      <c r="F47" s="107">
        <f>F48+F49</f>
        <v>5812</v>
      </c>
      <c r="G47" s="107">
        <f aca="true" t="shared" si="26" ref="G47:L47">G48+G49</f>
        <v>13111</v>
      </c>
      <c r="H47" s="107">
        <f t="shared" si="26"/>
        <v>8076</v>
      </c>
      <c r="I47" s="107">
        <f t="shared" si="26"/>
        <v>7962</v>
      </c>
      <c r="J47" s="13">
        <v>9051</v>
      </c>
      <c r="K47" s="107">
        <f t="shared" si="26"/>
        <v>9062</v>
      </c>
      <c r="L47" s="107">
        <f t="shared" si="26"/>
        <v>9261</v>
      </c>
      <c r="M47" s="107">
        <f>M48+M49</f>
        <v>9465</v>
      </c>
      <c r="N47" s="107">
        <f>N48+N49</f>
        <v>9673</v>
      </c>
      <c r="O47" s="107">
        <f>O48+O49</f>
        <v>9886</v>
      </c>
      <c r="P47" s="107">
        <f>P48+P49</f>
        <v>10103</v>
      </c>
      <c r="Q47" s="107">
        <f>Q48+Q49</f>
        <v>10325</v>
      </c>
      <c r="R47" s="107"/>
      <c r="S47" s="12" t="s">
        <v>324</v>
      </c>
      <c r="T47" s="12"/>
      <c r="U47" s="11">
        <f>5248-1720</f>
        <v>3528</v>
      </c>
      <c r="V47" s="11">
        <v>6000</v>
      </c>
      <c r="W47" s="11">
        <v>6000</v>
      </c>
      <c r="X47" s="11">
        <v>6000</v>
      </c>
      <c r="Y47" s="11">
        <v>6000</v>
      </c>
      <c r="Z47" s="11">
        <v>6000</v>
      </c>
      <c r="AA47" s="11">
        <v>6000</v>
      </c>
      <c r="AB47" s="11">
        <v>6000</v>
      </c>
      <c r="AC47" s="11">
        <v>6000</v>
      </c>
      <c r="AD47" s="11">
        <v>6000</v>
      </c>
      <c r="AE47" s="11">
        <v>2472</v>
      </c>
      <c r="AN47" s="11">
        <f>SUM(U47:AM47)</f>
        <v>60000</v>
      </c>
      <c r="AO47" s="11"/>
      <c r="AP47" s="11"/>
      <c r="AQ47" s="11"/>
      <c r="AR47" s="11"/>
      <c r="AS47" s="11"/>
      <c r="AT47" s="11"/>
      <c r="AU47" s="11"/>
      <c r="AV47" s="11"/>
      <c r="AW47" s="11"/>
      <c r="AZ47" s="11"/>
    </row>
    <row r="48" spans="1:52" ht="14.25" hidden="1" outlineLevel="1">
      <c r="A48" s="114" t="s">
        <v>23</v>
      </c>
      <c r="B48" s="107">
        <f>3236-3</f>
        <v>3233</v>
      </c>
      <c r="C48" s="107">
        <v>3096</v>
      </c>
      <c r="D48" s="107">
        <v>5253</v>
      </c>
      <c r="E48" s="107">
        <v>3529</v>
      </c>
      <c r="F48" s="107">
        <v>5812</v>
      </c>
      <c r="G48" s="107">
        <v>13111</v>
      </c>
      <c r="H48" s="107">
        <v>8076</v>
      </c>
      <c r="I48" s="107">
        <v>7649</v>
      </c>
      <c r="J48" s="13">
        <v>9051</v>
      </c>
      <c r="K48" s="396">
        <f>INT(J48*1.018+0.5)-80-72</f>
        <v>9062</v>
      </c>
      <c r="L48" s="396">
        <f aca="true" t="shared" si="27" ref="L48:Q48">INT(K48*1.022+0.5)</f>
        <v>9261</v>
      </c>
      <c r="M48" s="396">
        <f t="shared" si="27"/>
        <v>9465</v>
      </c>
      <c r="N48" s="396">
        <f t="shared" si="27"/>
        <v>9673</v>
      </c>
      <c r="O48" s="396">
        <f t="shared" si="27"/>
        <v>9886</v>
      </c>
      <c r="P48" s="396">
        <f t="shared" si="27"/>
        <v>10103</v>
      </c>
      <c r="Q48" s="396">
        <f t="shared" si="27"/>
        <v>10325</v>
      </c>
      <c r="R48" s="107"/>
      <c r="S48" s="12" t="s">
        <v>325</v>
      </c>
      <c r="T48" s="12"/>
      <c r="U48" s="11">
        <v>1006</v>
      </c>
      <c r="V48" s="11">
        <v>6037</v>
      </c>
      <c r="W48" s="11">
        <v>6037</v>
      </c>
      <c r="X48" s="11">
        <v>692</v>
      </c>
      <c r="Y48" s="11">
        <v>692</v>
      </c>
      <c r="Z48" s="11">
        <v>692</v>
      </c>
      <c r="AA48" s="11">
        <v>692</v>
      </c>
      <c r="AB48" s="11">
        <v>692</v>
      </c>
      <c r="AC48" s="11">
        <v>692</v>
      </c>
      <c r="AD48" s="11">
        <v>692</v>
      </c>
      <c r="AE48" s="11">
        <v>692</v>
      </c>
      <c r="AF48" s="11">
        <v>692</v>
      </c>
      <c r="AG48" s="11">
        <v>692</v>
      </c>
      <c r="AH48" s="11"/>
      <c r="AI48" s="11"/>
      <c r="AJ48" s="11"/>
      <c r="AK48" s="11"/>
      <c r="AL48" s="11"/>
      <c r="AM48" s="11"/>
      <c r="AN48" s="11">
        <f aca="true" t="shared" si="28" ref="AN48:AN62">SUM(U48:AM48)</f>
        <v>20000</v>
      </c>
      <c r="AO48" s="11"/>
      <c r="AZ48" s="11"/>
    </row>
    <row r="49" spans="1:52" ht="14.25" hidden="1" outlineLevel="1">
      <c r="A49" s="114" t="s">
        <v>22</v>
      </c>
      <c r="B49" s="107">
        <f>B50+B51</f>
        <v>3</v>
      </c>
      <c r="C49" s="107">
        <f>C50+C51</f>
        <v>2252</v>
      </c>
      <c r="D49" s="107">
        <f>D50+D51</f>
        <v>0</v>
      </c>
      <c r="E49" s="107">
        <f>E50+E51</f>
        <v>0</v>
      </c>
      <c r="F49" s="107">
        <f>F50+F51</f>
        <v>0</v>
      </c>
      <c r="G49" s="107"/>
      <c r="H49" s="107"/>
      <c r="I49" s="107">
        <f>+I50+I51</f>
        <v>313</v>
      </c>
      <c r="J49" s="13">
        <v>0</v>
      </c>
      <c r="K49" s="107"/>
      <c r="L49" s="107"/>
      <c r="M49" s="107"/>
      <c r="N49" s="107"/>
      <c r="O49" s="107"/>
      <c r="P49" s="107"/>
      <c r="Q49" s="107"/>
      <c r="R49" s="107"/>
      <c r="S49" s="12" t="s">
        <v>326</v>
      </c>
      <c r="T49" s="12"/>
      <c r="U49" s="11"/>
      <c r="V49" s="11">
        <v>2191</v>
      </c>
      <c r="W49" s="11">
        <v>3757</v>
      </c>
      <c r="X49" s="11">
        <v>119</v>
      </c>
      <c r="Y49" s="11">
        <v>119</v>
      </c>
      <c r="Z49" s="11">
        <v>120</v>
      </c>
      <c r="AA49" s="11">
        <v>119</v>
      </c>
      <c r="AB49" s="11">
        <v>119</v>
      </c>
      <c r="AC49" s="11">
        <v>120</v>
      </c>
      <c r="AD49" s="11">
        <v>119</v>
      </c>
      <c r="AE49" s="11">
        <v>119</v>
      </c>
      <c r="AF49" s="11">
        <v>120</v>
      </c>
      <c r="AG49" s="11">
        <v>120</v>
      </c>
      <c r="AH49" s="11"/>
      <c r="AI49" s="11"/>
      <c r="AJ49" s="11"/>
      <c r="AK49" s="11"/>
      <c r="AL49" s="11"/>
      <c r="AM49" s="11"/>
      <c r="AN49" s="11">
        <f t="shared" si="28"/>
        <v>7142</v>
      </c>
      <c r="AO49" s="11"/>
      <c r="AZ49" s="11"/>
    </row>
    <row r="50" spans="1:52" ht="14.25" hidden="1" outlineLevel="1">
      <c r="A50" s="123" t="s">
        <v>47</v>
      </c>
      <c r="B50" s="107"/>
      <c r="C50" s="107">
        <v>2252</v>
      </c>
      <c r="D50" s="107"/>
      <c r="E50" s="107"/>
      <c r="F50" s="107"/>
      <c r="G50" s="107"/>
      <c r="H50" s="107"/>
      <c r="I50" s="107">
        <v>313</v>
      </c>
      <c r="J50" s="13">
        <v>0</v>
      </c>
      <c r="K50" s="107"/>
      <c r="L50" s="107"/>
      <c r="M50" s="107"/>
      <c r="N50" s="107"/>
      <c r="O50" s="107"/>
      <c r="P50" s="107"/>
      <c r="Q50" s="107"/>
      <c r="R50" s="107"/>
      <c r="S50" s="12" t="s">
        <v>327</v>
      </c>
      <c r="T50" s="12"/>
      <c r="U50" s="11"/>
      <c r="V50" s="11">
        <v>2423</v>
      </c>
      <c r="W50" s="11">
        <v>4845</v>
      </c>
      <c r="X50" s="11">
        <v>559</v>
      </c>
      <c r="Y50" s="11">
        <v>559</v>
      </c>
      <c r="Z50" s="11">
        <v>559</v>
      </c>
      <c r="AA50" s="11">
        <v>559</v>
      </c>
      <c r="AB50" s="11">
        <v>559</v>
      </c>
      <c r="AC50" s="11">
        <v>559</v>
      </c>
      <c r="AD50" s="11">
        <v>559</v>
      </c>
      <c r="AE50" s="11">
        <v>559</v>
      </c>
      <c r="AF50" s="11">
        <v>559</v>
      </c>
      <c r="AG50" s="11">
        <v>559</v>
      </c>
      <c r="AH50" s="11"/>
      <c r="AI50" s="11"/>
      <c r="AJ50" s="11"/>
      <c r="AK50" s="11"/>
      <c r="AL50" s="11"/>
      <c r="AM50" s="11"/>
      <c r="AN50" s="11">
        <f t="shared" si="28"/>
        <v>12858</v>
      </c>
      <c r="AO50" s="11"/>
      <c r="AZ50" s="11"/>
    </row>
    <row r="51" spans="1:52" ht="14.25" hidden="1" outlineLevel="1">
      <c r="A51" s="123" t="s">
        <v>1</v>
      </c>
      <c r="B51" s="107">
        <v>3</v>
      </c>
      <c r="C51" s="107"/>
      <c r="D51" s="107"/>
      <c r="E51" s="107"/>
      <c r="F51" s="107"/>
      <c r="G51" s="107"/>
      <c r="H51" s="107"/>
      <c r="I51" s="107"/>
      <c r="J51" s="13">
        <v>0</v>
      </c>
      <c r="K51" s="107"/>
      <c r="L51" s="107"/>
      <c r="M51" s="107"/>
      <c r="N51" s="107"/>
      <c r="O51" s="107"/>
      <c r="P51" s="107"/>
      <c r="Q51" s="107"/>
      <c r="R51" s="107"/>
      <c r="S51" s="12" t="s">
        <v>328</v>
      </c>
      <c r="T51" s="12"/>
      <c r="U51" s="11"/>
      <c r="V51" s="11">
        <v>720</v>
      </c>
      <c r="W51" s="11">
        <v>4320</v>
      </c>
      <c r="X51" s="11">
        <v>496</v>
      </c>
      <c r="Y51" s="11">
        <v>496</v>
      </c>
      <c r="Z51" s="11">
        <v>496</v>
      </c>
      <c r="AA51" s="11">
        <v>496</v>
      </c>
      <c r="AB51" s="11">
        <v>496</v>
      </c>
      <c r="AC51" s="11">
        <v>496</v>
      </c>
      <c r="AD51" s="11">
        <v>496</v>
      </c>
      <c r="AE51" s="11">
        <v>496</v>
      </c>
      <c r="AF51" s="11">
        <v>496</v>
      </c>
      <c r="AG51" s="11">
        <v>496</v>
      </c>
      <c r="AH51" s="11"/>
      <c r="AI51" s="11"/>
      <c r="AJ51" s="11"/>
      <c r="AK51" s="11"/>
      <c r="AL51" s="11"/>
      <c r="AM51" s="11"/>
      <c r="AN51" s="11">
        <f t="shared" si="28"/>
        <v>10000</v>
      </c>
      <c r="AO51" s="11"/>
      <c r="AZ51" s="11"/>
    </row>
    <row r="52" spans="1:52" ht="14.25" collapsed="1">
      <c r="A52" s="121" t="s">
        <v>11</v>
      </c>
      <c r="B52" s="107">
        <v>-44</v>
      </c>
      <c r="C52" s="107">
        <v>62</v>
      </c>
      <c r="D52" s="107">
        <v>-692</v>
      </c>
      <c r="E52" s="107">
        <v>-458</v>
      </c>
      <c r="F52" s="107">
        <v>-1415</v>
      </c>
      <c r="G52" s="107">
        <v>-1521</v>
      </c>
      <c r="H52" s="107">
        <v>-3311</v>
      </c>
      <c r="I52" s="107">
        <v>-3224</v>
      </c>
      <c r="J52" s="13">
        <v>-5218</v>
      </c>
      <c r="K52" s="107">
        <f>-remont!E22-remont!E44</f>
        <v>-3283</v>
      </c>
      <c r="L52" s="107">
        <f>-remont!F22-remont!F44</f>
        <v>-4581</v>
      </c>
      <c r="M52" s="107">
        <f>-remont!G22-remont!G44</f>
        <v>-4593</v>
      </c>
      <c r="N52" s="107">
        <f>-remont!H22-remont!H44</f>
        <v>-3431</v>
      </c>
      <c r="O52" s="107">
        <f>-remont!I22-remont!I44</f>
        <v>-5109</v>
      </c>
      <c r="P52" s="107">
        <f>-remont!J22-remont!J44</f>
        <v>-5004</v>
      </c>
      <c r="Q52" s="107">
        <f>-remont!K22-remont!K44</f>
        <v>-4939</v>
      </c>
      <c r="R52" s="107"/>
      <c r="S52" s="12" t="s">
        <v>555</v>
      </c>
      <c r="T52" s="12"/>
      <c r="U52" s="11"/>
      <c r="V52" s="11"/>
      <c r="W52" s="11">
        <v>1659</v>
      </c>
      <c r="X52" s="12">
        <v>88</v>
      </c>
      <c r="Y52" s="12">
        <v>89</v>
      </c>
      <c r="Z52" s="12">
        <v>89</v>
      </c>
      <c r="AA52" s="12">
        <v>89</v>
      </c>
      <c r="AB52" s="12">
        <v>88</v>
      </c>
      <c r="AC52" s="12">
        <v>89</v>
      </c>
      <c r="AD52" s="12">
        <v>88</v>
      </c>
      <c r="AE52" s="12">
        <v>89</v>
      </c>
      <c r="AF52" s="12">
        <v>89</v>
      </c>
      <c r="AG52" s="12">
        <v>89</v>
      </c>
      <c r="AH52" s="12"/>
      <c r="AI52" s="12"/>
      <c r="AJ52" s="12"/>
      <c r="AK52" s="12"/>
      <c r="AL52" s="12"/>
      <c r="AM52" s="12"/>
      <c r="AN52" s="11">
        <f t="shared" si="28"/>
        <v>2546</v>
      </c>
      <c r="AO52" s="12"/>
      <c r="AZ52" s="11"/>
    </row>
    <row r="53" spans="1:52" ht="14.25">
      <c r="A53" s="120" t="s">
        <v>16</v>
      </c>
      <c r="B53" s="120">
        <f>B21-B23</f>
        <v>717</v>
      </c>
      <c r="C53" s="120">
        <f>C21-C23</f>
        <v>-1479</v>
      </c>
      <c r="D53" s="120">
        <f>D21-D23</f>
        <v>-10233</v>
      </c>
      <c r="E53" s="120">
        <f>E21-E23</f>
        <v>-14292</v>
      </c>
      <c r="F53" s="120">
        <f>F21-F23</f>
        <v>31939</v>
      </c>
      <c r="G53" s="120">
        <f aca="true" t="shared" si="29" ref="G53:L53">G21-G23</f>
        <v>78819</v>
      </c>
      <c r="H53" s="104">
        <f t="shared" si="29"/>
        <v>72831</v>
      </c>
      <c r="I53" s="104">
        <f t="shared" si="29"/>
        <v>57875</v>
      </c>
      <c r="J53" s="621">
        <v>51097</v>
      </c>
      <c r="K53" s="104">
        <f t="shared" si="29"/>
        <v>50697</v>
      </c>
      <c r="L53" s="104">
        <f t="shared" si="29"/>
        <v>53282</v>
      </c>
      <c r="M53" s="104">
        <f>M21-M23</f>
        <v>56607</v>
      </c>
      <c r="N53" s="104">
        <f>N21-N23</f>
        <v>59390</v>
      </c>
      <c r="O53" s="104">
        <f>O21-O23</f>
        <v>63252</v>
      </c>
      <c r="P53" s="104">
        <f>P21-P23</f>
        <v>59129</v>
      </c>
      <c r="Q53" s="104">
        <f>Q21-Q23</f>
        <v>62704</v>
      </c>
      <c r="R53" s="107"/>
      <c r="S53" s="12" t="s">
        <v>556</v>
      </c>
      <c r="T53" s="12"/>
      <c r="U53" s="12"/>
      <c r="V53" s="12"/>
      <c r="W53" s="12">
        <v>966</v>
      </c>
      <c r="X53" s="12">
        <v>158</v>
      </c>
      <c r="Y53" s="12">
        <v>158</v>
      </c>
      <c r="Z53" s="12">
        <v>158</v>
      </c>
      <c r="AA53" s="12">
        <v>158</v>
      </c>
      <c r="AB53" s="12">
        <v>158</v>
      </c>
      <c r="AC53" s="12">
        <v>158</v>
      </c>
      <c r="AD53" s="12">
        <v>158</v>
      </c>
      <c r="AE53" s="12">
        <v>158</v>
      </c>
      <c r="AF53" s="12">
        <v>158</v>
      </c>
      <c r="AG53" s="12">
        <v>158</v>
      </c>
      <c r="AH53" s="12"/>
      <c r="AI53" s="12"/>
      <c r="AJ53" s="12"/>
      <c r="AK53" s="12"/>
      <c r="AL53" s="12"/>
      <c r="AM53" s="12"/>
      <c r="AN53" s="11">
        <f t="shared" si="28"/>
        <v>2546</v>
      </c>
      <c r="AO53" s="12"/>
      <c r="AZ53" s="11"/>
    </row>
    <row r="54" spans="1:52" ht="14.25">
      <c r="A54" s="121" t="s">
        <v>321</v>
      </c>
      <c r="B54" s="107"/>
      <c r="C54" s="107"/>
      <c r="D54" s="107"/>
      <c r="E54" s="107"/>
      <c r="F54" s="107"/>
      <c r="G54" s="107">
        <v>714</v>
      </c>
      <c r="H54" s="107">
        <f aca="true" t="shared" si="30" ref="H54:Q54">U65</f>
        <v>5248</v>
      </c>
      <c r="I54" s="107">
        <f>V65</f>
        <v>18082</v>
      </c>
      <c r="J54" s="13">
        <v>32103</v>
      </c>
      <c r="K54" s="107">
        <f>X65</f>
        <v>10948</v>
      </c>
      <c r="L54" s="107">
        <f t="shared" si="30"/>
        <v>10949</v>
      </c>
      <c r="M54" s="107">
        <f t="shared" si="30"/>
        <v>10951</v>
      </c>
      <c r="N54" s="107">
        <f t="shared" si="30"/>
        <v>27451</v>
      </c>
      <c r="O54" s="107">
        <f t="shared" si="30"/>
        <v>37949</v>
      </c>
      <c r="P54" s="107">
        <f t="shared" si="30"/>
        <v>45952</v>
      </c>
      <c r="Q54" s="107">
        <f t="shared" si="30"/>
        <v>53949</v>
      </c>
      <c r="R54" s="107"/>
      <c r="S54" s="12" t="s">
        <v>557</v>
      </c>
      <c r="T54" s="12"/>
      <c r="U54" s="12"/>
      <c r="V54" s="12"/>
      <c r="W54" s="12">
        <v>3786</v>
      </c>
      <c r="X54" s="12">
        <v>866</v>
      </c>
      <c r="Y54" s="12">
        <v>866</v>
      </c>
      <c r="Z54" s="12">
        <v>867</v>
      </c>
      <c r="AA54" s="12">
        <v>867</v>
      </c>
      <c r="AB54" s="12">
        <v>867</v>
      </c>
      <c r="AC54" s="12">
        <v>867</v>
      </c>
      <c r="AD54" s="12">
        <v>867</v>
      </c>
      <c r="AE54" s="12">
        <v>867</v>
      </c>
      <c r="AF54" s="12">
        <v>867</v>
      </c>
      <c r="AG54" s="12">
        <v>867</v>
      </c>
      <c r="AH54" s="12"/>
      <c r="AI54" s="12"/>
      <c r="AJ54" s="12"/>
      <c r="AK54" s="12"/>
      <c r="AL54" s="12"/>
      <c r="AM54" s="12"/>
      <c r="AN54" s="11">
        <f t="shared" si="28"/>
        <v>12454</v>
      </c>
      <c r="AO54" s="12"/>
      <c r="AZ54" s="11"/>
    </row>
    <row r="55" spans="1:52" ht="14.25">
      <c r="A55" s="121" t="s">
        <v>252</v>
      </c>
      <c r="B55" s="107">
        <v>942</v>
      </c>
      <c r="C55" s="107">
        <v>1528</v>
      </c>
      <c r="D55" s="107">
        <v>1284</v>
      </c>
      <c r="E55" s="107">
        <v>1161</v>
      </c>
      <c r="F55" s="107">
        <v>31602</v>
      </c>
      <c r="G55" s="107">
        <v>74625</v>
      </c>
      <c r="H55" s="107">
        <v>79017</v>
      </c>
      <c r="I55" s="107">
        <v>82935</v>
      </c>
      <c r="J55" s="13">
        <v>86501</v>
      </c>
      <c r="K55" s="107">
        <f>INT(X80+0.5)</f>
        <v>59357</v>
      </c>
      <c r="L55" s="107">
        <f aca="true" t="shared" si="31" ref="L55:Q55">INT(Y80+0.5)</f>
        <v>61912</v>
      </c>
      <c r="M55" s="107">
        <f t="shared" si="31"/>
        <v>64606</v>
      </c>
      <c r="N55" s="107">
        <f t="shared" si="31"/>
        <v>84187</v>
      </c>
      <c r="O55" s="107">
        <f t="shared" si="31"/>
        <v>97683</v>
      </c>
      <c r="P55" s="107">
        <f t="shared" si="31"/>
        <v>101446</v>
      </c>
      <c r="Q55" s="107">
        <f t="shared" si="31"/>
        <v>112041</v>
      </c>
      <c r="R55" s="107"/>
      <c r="S55" s="12" t="s">
        <v>558</v>
      </c>
      <c r="T55" s="12"/>
      <c r="U55" s="12"/>
      <c r="V55" s="12"/>
      <c r="W55" s="12"/>
      <c r="X55" s="12">
        <v>1245</v>
      </c>
      <c r="Y55" s="12">
        <v>1245</v>
      </c>
      <c r="Z55" s="12">
        <v>1245</v>
      </c>
      <c r="AA55" s="12">
        <v>1246</v>
      </c>
      <c r="AB55" s="12">
        <v>1245</v>
      </c>
      <c r="AC55" s="12">
        <v>1246</v>
      </c>
      <c r="AD55" s="12">
        <v>1245</v>
      </c>
      <c r="AE55" s="12">
        <v>1246</v>
      </c>
      <c r="AF55" s="12">
        <v>1245</v>
      </c>
      <c r="AG55" s="12">
        <v>1246</v>
      </c>
      <c r="AH55" s="12"/>
      <c r="AI55" s="12"/>
      <c r="AJ55" s="12"/>
      <c r="AK55" s="12"/>
      <c r="AL55" s="12"/>
      <c r="AM55" s="12"/>
      <c r="AN55" s="11">
        <f t="shared" si="28"/>
        <v>12454</v>
      </c>
      <c r="AZ55" s="11"/>
    </row>
    <row r="56" spans="1:40" ht="14.25">
      <c r="A56" s="121" t="s">
        <v>322</v>
      </c>
      <c r="B56" s="107">
        <f>B54</f>
        <v>0</v>
      </c>
      <c r="C56" s="107">
        <f>C54</f>
        <v>0</v>
      </c>
      <c r="D56" s="107">
        <f>D54</f>
        <v>0</v>
      </c>
      <c r="E56" s="107">
        <f>E54</f>
        <v>0</v>
      </c>
      <c r="F56" s="107">
        <f>F54</f>
        <v>0</v>
      </c>
      <c r="G56" s="107">
        <f aca="true" t="shared" si="32" ref="G56:L56">G54</f>
        <v>714</v>
      </c>
      <c r="H56" s="107">
        <f t="shared" si="32"/>
        <v>5248</v>
      </c>
      <c r="I56" s="107">
        <f t="shared" si="32"/>
        <v>18082</v>
      </c>
      <c r="J56" s="13">
        <v>32103</v>
      </c>
      <c r="K56" s="107">
        <f t="shared" si="32"/>
        <v>10948</v>
      </c>
      <c r="L56" s="107">
        <f t="shared" si="32"/>
        <v>10949</v>
      </c>
      <c r="M56" s="107">
        <f>M54</f>
        <v>10951</v>
      </c>
      <c r="N56" s="107">
        <f>N54</f>
        <v>27451</v>
      </c>
      <c r="O56" s="107">
        <f>O54</f>
        <v>37949</v>
      </c>
      <c r="P56" s="107">
        <f>P54</f>
        <v>45952</v>
      </c>
      <c r="Q56" s="107">
        <f>Q54</f>
        <v>53949</v>
      </c>
      <c r="R56" s="107"/>
      <c r="S56" s="12" t="s">
        <v>627</v>
      </c>
      <c r="T56" s="119"/>
      <c r="U56" s="119"/>
      <c r="V56" s="119"/>
      <c r="W56" s="119"/>
      <c r="X56" s="119"/>
      <c r="Y56" s="119"/>
      <c r="AF56" s="11"/>
      <c r="AN56" s="11">
        <f t="shared" si="28"/>
        <v>0</v>
      </c>
    </row>
    <row r="57" spans="1:40" ht="14.25">
      <c r="A57" s="120" t="s">
        <v>17</v>
      </c>
      <c r="B57" s="120">
        <f>B53+B54-B55</f>
        <v>-225</v>
      </c>
      <c r="C57" s="120">
        <f>C53+C54-C55</f>
        <v>-3007</v>
      </c>
      <c r="D57" s="120">
        <f>D53+D54-D55</f>
        <v>-11517</v>
      </c>
      <c r="E57" s="120">
        <f>E53+E54-E55</f>
        <v>-15453</v>
      </c>
      <c r="F57" s="120">
        <f>F53+F54-F55</f>
        <v>337</v>
      </c>
      <c r="G57" s="120">
        <f aca="true" t="shared" si="33" ref="G57:L57">G53+G54-G55</f>
        <v>4908</v>
      </c>
      <c r="H57" s="120">
        <f t="shared" si="33"/>
        <v>-938</v>
      </c>
      <c r="I57" s="120">
        <f t="shared" si="33"/>
        <v>-6978</v>
      </c>
      <c r="J57" s="622">
        <v>-3301</v>
      </c>
      <c r="K57" s="120">
        <f t="shared" si="33"/>
        <v>2288</v>
      </c>
      <c r="L57" s="120">
        <f t="shared" si="33"/>
        <v>2319</v>
      </c>
      <c r="M57" s="120">
        <f>M53+M54-M55</f>
        <v>2952</v>
      </c>
      <c r="N57" s="120">
        <f>N53+N54-N55</f>
        <v>2654</v>
      </c>
      <c r="O57" s="120">
        <f>O53+O54-O55</f>
        <v>3518</v>
      </c>
      <c r="P57" s="120">
        <f>P53+P54-P55</f>
        <v>3635</v>
      </c>
      <c r="Q57" s="120">
        <f>Q53+Q54-Q55</f>
        <v>4612</v>
      </c>
      <c r="R57" s="107"/>
      <c r="S57" s="12" t="s">
        <v>628</v>
      </c>
      <c r="T57" s="119"/>
      <c r="U57" s="119"/>
      <c r="V57" s="119"/>
      <c r="W57" s="119"/>
      <c r="X57" s="119"/>
      <c r="Y57" s="12"/>
      <c r="AF57" s="11"/>
      <c r="AN57" s="11">
        <f t="shared" si="28"/>
        <v>0</v>
      </c>
    </row>
    <row r="58" spans="1:40" ht="14.25">
      <c r="A58" s="107" t="s">
        <v>439</v>
      </c>
      <c r="B58" s="107"/>
      <c r="C58" s="107"/>
      <c r="D58" s="107"/>
      <c r="E58" s="107"/>
      <c r="F58" s="107"/>
      <c r="G58" s="107">
        <v>16951</v>
      </c>
      <c r="H58" s="107">
        <f>1785</f>
        <v>1785</v>
      </c>
      <c r="I58" s="107">
        <v>916</v>
      </c>
      <c r="J58" s="13">
        <v>5655</v>
      </c>
      <c r="K58" s="107">
        <f>INT('vag +lok'!C37+0.5)</f>
        <v>9147</v>
      </c>
      <c r="L58" s="107">
        <f>INT('vag +lok'!D37+0.5)</f>
        <v>5700</v>
      </c>
      <c r="M58" s="107">
        <f>INT('vag +lok'!E37+0.5)</f>
        <v>6210</v>
      </c>
      <c r="N58" s="107">
        <f>INT('vag +lok'!F37+0.5)</f>
        <v>6269</v>
      </c>
      <c r="O58" s="107">
        <f>INT('vag +lok'!G37+0.5)</f>
        <v>3935</v>
      </c>
      <c r="P58" s="107">
        <f>INT('vag +lok'!H37+0.5)</f>
        <v>2874</v>
      </c>
      <c r="Q58" s="107">
        <f>INT('vag +lok'!I37+0.5)</f>
        <v>2048</v>
      </c>
      <c r="R58" s="107"/>
      <c r="S58" s="12" t="s">
        <v>629</v>
      </c>
      <c r="T58" s="119"/>
      <c r="U58" s="119"/>
      <c r="V58" s="119"/>
      <c r="W58" s="119"/>
      <c r="X58" s="119"/>
      <c r="Y58" s="12"/>
      <c r="AF58" s="11"/>
      <c r="AN58" s="11">
        <f t="shared" si="28"/>
        <v>0</v>
      </c>
    </row>
    <row r="59" spans="1:40" ht="14.25">
      <c r="A59" s="107" t="s">
        <v>330</v>
      </c>
      <c r="B59" s="107"/>
      <c r="C59" s="107"/>
      <c r="D59" s="107"/>
      <c r="E59" s="107"/>
      <c r="F59" s="107"/>
      <c r="G59" s="107">
        <v>-9335</v>
      </c>
      <c r="H59" s="107">
        <f>-1774</f>
        <v>-1774</v>
      </c>
      <c r="I59" s="107">
        <v>-77</v>
      </c>
      <c r="J59" s="13">
        <v>-1755</v>
      </c>
      <c r="K59" s="107">
        <f>-INT('vag +lok'!C38+0.5)</f>
        <v>-2118</v>
      </c>
      <c r="L59" s="107">
        <f>-INT('vag +lok'!D38+0.5)</f>
        <v>-1476</v>
      </c>
      <c r="M59" s="107">
        <f>-INT('vag +lok'!E38+0.5)</f>
        <v>-775</v>
      </c>
      <c r="N59" s="107">
        <f>-INT('vag +lok'!F38+0.5)</f>
        <v>-946</v>
      </c>
      <c r="O59" s="107">
        <f>-INT('vag +lok'!G38+0.5)</f>
        <v>-455</v>
      </c>
      <c r="P59" s="107">
        <f>-INT('vag +lok'!H38+0.5)</f>
        <v>-385</v>
      </c>
      <c r="Q59" s="107">
        <f>-INT('vag +lok'!I38+0.5)</f>
        <v>-175</v>
      </c>
      <c r="R59" s="107"/>
      <c r="S59" s="12" t="s">
        <v>630</v>
      </c>
      <c r="T59" s="119"/>
      <c r="U59" s="119"/>
      <c r="V59" s="119"/>
      <c r="W59" s="119"/>
      <c r="X59" s="119"/>
      <c r="Y59" s="12"/>
      <c r="AA59" s="12">
        <f>150000/10+15000/10</f>
        <v>16500</v>
      </c>
      <c r="AB59" s="12">
        <f aca="true" t="shared" si="34" ref="AB59:AJ59">150000/10+15000/10</f>
        <v>16500</v>
      </c>
      <c r="AC59" s="12">
        <f t="shared" si="34"/>
        <v>16500</v>
      </c>
      <c r="AD59" s="12">
        <f t="shared" si="34"/>
        <v>16500</v>
      </c>
      <c r="AE59" s="12">
        <f t="shared" si="34"/>
        <v>16500</v>
      </c>
      <c r="AF59" s="12">
        <f t="shared" si="34"/>
        <v>16500</v>
      </c>
      <c r="AG59" s="12">
        <f t="shared" si="34"/>
        <v>16500</v>
      </c>
      <c r="AH59" s="12">
        <f t="shared" si="34"/>
        <v>16500</v>
      </c>
      <c r="AI59" s="12">
        <f t="shared" si="34"/>
        <v>16500</v>
      </c>
      <c r="AJ59" s="12">
        <f t="shared" si="34"/>
        <v>16500</v>
      </c>
      <c r="AK59" s="12"/>
      <c r="AL59" s="12"/>
      <c r="AM59" s="12"/>
      <c r="AN59" s="11">
        <f t="shared" si="28"/>
        <v>165000</v>
      </c>
    </row>
    <row r="60" spans="1:40" ht="14.25" hidden="1" outlineLevel="1">
      <c r="A60" s="107" t="s">
        <v>253</v>
      </c>
      <c r="B60" s="107"/>
      <c r="C60" s="107"/>
      <c r="D60" s="107"/>
      <c r="E60" s="107"/>
      <c r="F60" s="107"/>
      <c r="G60" s="107"/>
      <c r="H60" s="107">
        <v>7250</v>
      </c>
      <c r="I60" s="107"/>
      <c r="J60" s="13">
        <v>0</v>
      </c>
      <c r="K60" s="107"/>
      <c r="L60" s="107"/>
      <c r="M60" s="107"/>
      <c r="N60" s="107"/>
      <c r="O60" s="107"/>
      <c r="P60" s="107"/>
      <c r="Q60" s="107"/>
      <c r="R60" s="107"/>
      <c r="S60" s="189" t="s">
        <v>631</v>
      </c>
      <c r="T60" s="119"/>
      <c r="U60" s="119"/>
      <c r="V60" s="119"/>
      <c r="W60" s="119"/>
      <c r="X60" s="119"/>
      <c r="Y60" s="12"/>
      <c r="AA60" s="12"/>
      <c r="AB60" s="12">
        <f>90000/10+15000/10</f>
        <v>10500</v>
      </c>
      <c r="AC60" s="12">
        <f aca="true" t="shared" si="35" ref="AC60:AK60">90000/10+15000/10</f>
        <v>10500</v>
      </c>
      <c r="AD60" s="12">
        <f t="shared" si="35"/>
        <v>10500</v>
      </c>
      <c r="AE60" s="12">
        <f t="shared" si="35"/>
        <v>10500</v>
      </c>
      <c r="AF60" s="12">
        <f t="shared" si="35"/>
        <v>10500</v>
      </c>
      <c r="AG60" s="12">
        <f t="shared" si="35"/>
        <v>10500</v>
      </c>
      <c r="AH60" s="12">
        <f t="shared" si="35"/>
        <v>10500</v>
      </c>
      <c r="AI60" s="12">
        <f t="shared" si="35"/>
        <v>10500</v>
      </c>
      <c r="AJ60" s="12">
        <f t="shared" si="35"/>
        <v>10500</v>
      </c>
      <c r="AK60" s="12">
        <f t="shared" si="35"/>
        <v>10500</v>
      </c>
      <c r="AL60" s="12"/>
      <c r="AM60" s="12"/>
      <c r="AN60" s="11">
        <f t="shared" si="28"/>
        <v>105000</v>
      </c>
    </row>
    <row r="61" spans="1:40" ht="14.25" collapsed="1">
      <c r="A61" s="107" t="s">
        <v>31</v>
      </c>
      <c r="B61" s="107">
        <v>14</v>
      </c>
      <c r="C61" s="107">
        <v>58</v>
      </c>
      <c r="D61" s="107">
        <v>4</v>
      </c>
      <c r="E61" s="107">
        <v>16</v>
      </c>
      <c r="F61" s="107">
        <v>168</v>
      </c>
      <c r="G61" s="107">
        <v>131</v>
      </c>
      <c r="H61" s="107">
        <v>17</v>
      </c>
      <c r="I61" s="107">
        <v>383</v>
      </c>
      <c r="J61" s="13">
        <v>457</v>
      </c>
      <c r="K61" s="107">
        <v>401</v>
      </c>
      <c r="L61" s="107">
        <v>358</v>
      </c>
      <c r="M61" s="107">
        <v>314</v>
      </c>
      <c r="N61" s="107">
        <v>271</v>
      </c>
      <c r="O61" s="107">
        <v>228</v>
      </c>
      <c r="P61" s="107">
        <v>184</v>
      </c>
      <c r="Q61" s="107">
        <v>141</v>
      </c>
      <c r="R61" s="104"/>
      <c r="S61" s="189" t="s">
        <v>632</v>
      </c>
      <c r="T61" s="119"/>
      <c r="U61" s="119"/>
      <c r="V61" s="119"/>
      <c r="W61" s="119"/>
      <c r="X61" s="119"/>
      <c r="Y61" s="12"/>
      <c r="AA61" s="12"/>
      <c r="AB61" s="12"/>
      <c r="AC61" s="12">
        <f>80000/10</f>
        <v>8000</v>
      </c>
      <c r="AD61" s="12">
        <f aca="true" t="shared" si="36" ref="AD61:AM62">80000/10</f>
        <v>8000</v>
      </c>
      <c r="AE61" s="12">
        <f t="shared" si="36"/>
        <v>8000</v>
      </c>
      <c r="AF61" s="12">
        <f t="shared" si="36"/>
        <v>8000</v>
      </c>
      <c r="AG61" s="12">
        <f t="shared" si="36"/>
        <v>8000</v>
      </c>
      <c r="AH61" s="12">
        <f t="shared" si="36"/>
        <v>8000</v>
      </c>
      <c r="AI61" s="12">
        <f t="shared" si="36"/>
        <v>8000</v>
      </c>
      <c r="AJ61" s="12">
        <f t="shared" si="36"/>
        <v>8000</v>
      </c>
      <c r="AK61" s="12">
        <f t="shared" si="36"/>
        <v>8000</v>
      </c>
      <c r="AL61" s="12">
        <f t="shared" si="36"/>
        <v>8000</v>
      </c>
      <c r="AM61" s="12"/>
      <c r="AN61" s="11">
        <f t="shared" si="28"/>
        <v>80000</v>
      </c>
    </row>
    <row r="62" spans="1:40" ht="14.25">
      <c r="A62" s="107" t="s">
        <v>32</v>
      </c>
      <c r="B62" s="107">
        <v>82</v>
      </c>
      <c r="C62" s="107">
        <v>95</v>
      </c>
      <c r="D62" s="107">
        <v>68</v>
      </c>
      <c r="E62" s="107">
        <v>160</v>
      </c>
      <c r="F62" s="107">
        <v>203</v>
      </c>
      <c r="G62" s="107">
        <v>11598</v>
      </c>
      <c r="H62" s="107">
        <v>12334</v>
      </c>
      <c r="I62" s="107">
        <v>5145</v>
      </c>
      <c r="J62" s="13">
        <v>3550</v>
      </c>
      <c r="K62" s="628">
        <f>2700+300</f>
        <v>3000</v>
      </c>
      <c r="L62" s="628">
        <f>2400+300</f>
        <v>2700</v>
      </c>
      <c r="M62" s="628">
        <f>2100+300</f>
        <v>2400</v>
      </c>
      <c r="N62" s="628">
        <f>1700+300</f>
        <v>2000</v>
      </c>
      <c r="O62" s="628">
        <f>1500+300</f>
        <v>1800</v>
      </c>
      <c r="P62" s="628">
        <f>1200+300</f>
        <v>1500</v>
      </c>
      <c r="Q62" s="628">
        <f>1000+300</f>
        <v>1300</v>
      </c>
      <c r="R62" s="107"/>
      <c r="S62" s="190" t="s">
        <v>349</v>
      </c>
      <c r="T62" s="119"/>
      <c r="U62" s="119"/>
      <c r="V62" s="119"/>
      <c r="W62" s="119"/>
      <c r="X62" s="119"/>
      <c r="Y62" s="119"/>
      <c r="Z62" s="191"/>
      <c r="AA62" s="12"/>
      <c r="AB62" s="12"/>
      <c r="AC62" s="12"/>
      <c r="AD62" s="12">
        <f>80000/10</f>
        <v>8000</v>
      </c>
      <c r="AE62" s="12">
        <f t="shared" si="36"/>
        <v>8000</v>
      </c>
      <c r="AF62" s="190">
        <f t="shared" si="36"/>
        <v>8000</v>
      </c>
      <c r="AG62" s="190">
        <f t="shared" si="36"/>
        <v>8000</v>
      </c>
      <c r="AH62" s="190">
        <f t="shared" si="36"/>
        <v>8000</v>
      </c>
      <c r="AI62" s="190">
        <f t="shared" si="36"/>
        <v>8000</v>
      </c>
      <c r="AJ62" s="190">
        <f t="shared" si="36"/>
        <v>8000</v>
      </c>
      <c r="AK62" s="190">
        <f t="shared" si="36"/>
        <v>8000</v>
      </c>
      <c r="AL62" s="190">
        <f t="shared" si="36"/>
        <v>8000</v>
      </c>
      <c r="AM62" s="190">
        <f t="shared" si="36"/>
        <v>8000</v>
      </c>
      <c r="AN62" s="400">
        <f t="shared" si="28"/>
        <v>80000</v>
      </c>
    </row>
    <row r="63" spans="1:31" ht="14.25">
      <c r="A63" s="107" t="s">
        <v>45</v>
      </c>
      <c r="B63" s="107"/>
      <c r="C63" s="107"/>
      <c r="D63" s="107"/>
      <c r="E63" s="107"/>
      <c r="F63" s="107"/>
      <c r="G63" s="107"/>
      <c r="H63" s="107"/>
      <c r="I63" s="107"/>
      <c r="J63" s="13">
        <v>0</v>
      </c>
      <c r="K63" s="107"/>
      <c r="L63" s="107"/>
      <c r="M63" s="107"/>
      <c r="N63" s="107"/>
      <c r="O63" s="107"/>
      <c r="P63" s="107"/>
      <c r="Q63" s="107"/>
      <c r="R63" s="107"/>
      <c r="S63" s="119"/>
      <c r="T63" s="122">
        <f aca="true" t="shared" si="37" ref="T63:AE63">SUM(T47:T62)</f>
        <v>0</v>
      </c>
      <c r="U63" s="122">
        <f t="shared" si="37"/>
        <v>4534</v>
      </c>
      <c r="V63" s="122">
        <f t="shared" si="37"/>
        <v>17371</v>
      </c>
      <c r="W63" s="122">
        <f t="shared" si="37"/>
        <v>31370</v>
      </c>
      <c r="X63" s="122">
        <f t="shared" si="37"/>
        <v>10223</v>
      </c>
      <c r="Y63" s="122">
        <f t="shared" si="37"/>
        <v>10224</v>
      </c>
      <c r="Z63" s="122">
        <f t="shared" si="37"/>
        <v>10226</v>
      </c>
      <c r="AA63" s="122">
        <f t="shared" si="37"/>
        <v>26726</v>
      </c>
      <c r="AB63" s="122">
        <f t="shared" si="37"/>
        <v>37224</v>
      </c>
      <c r="AC63" s="122">
        <f t="shared" si="37"/>
        <v>45227</v>
      </c>
      <c r="AD63" s="122">
        <f t="shared" si="37"/>
        <v>53224</v>
      </c>
      <c r="AE63" s="122">
        <f t="shared" si="37"/>
        <v>49698</v>
      </c>
    </row>
    <row r="64" spans="1:31" ht="14.25">
      <c r="A64" s="104" t="s">
        <v>44</v>
      </c>
      <c r="B64" s="104">
        <f>SUM(B57:B61)-B62+B63</f>
        <v>-293</v>
      </c>
      <c r="C64" s="104">
        <f>SUM(C57:C61)-C62+C63</f>
        <v>-3044</v>
      </c>
      <c r="D64" s="104">
        <f>SUM(D57:D61)-D62+D63</f>
        <v>-11581</v>
      </c>
      <c r="E64" s="104">
        <f>SUM(E57:E61)-E62+E63</f>
        <v>-15597</v>
      </c>
      <c r="F64" s="104">
        <f>SUM(F57:F61)-F62+F63</f>
        <v>302</v>
      </c>
      <c r="G64" s="104">
        <f aca="true" t="shared" si="38" ref="G64:L64">SUM(G57:G61)-G62+G63</f>
        <v>1057</v>
      </c>
      <c r="H64" s="104">
        <f t="shared" si="38"/>
        <v>-5994</v>
      </c>
      <c r="I64" s="104">
        <f t="shared" si="38"/>
        <v>-10901</v>
      </c>
      <c r="J64" s="621">
        <v>-2494</v>
      </c>
      <c r="K64" s="104">
        <f t="shared" si="38"/>
        <v>6718</v>
      </c>
      <c r="L64" s="104">
        <f t="shared" si="38"/>
        <v>4201</v>
      </c>
      <c r="M64" s="104">
        <f>SUM(M57:M61)-M62+M63</f>
        <v>6301</v>
      </c>
      <c r="N64" s="104">
        <f>SUM(N57:N61)-N62+N63</f>
        <v>6248</v>
      </c>
      <c r="O64" s="104">
        <f>SUM(O57:O61)-O62+O63</f>
        <v>5426</v>
      </c>
      <c r="P64" s="104">
        <f>SUM(P57:P61)-P62+P63</f>
        <v>4808</v>
      </c>
      <c r="Q64" s="104">
        <f>SUM(Q57:Q61)-Q62+Q63</f>
        <v>5326</v>
      </c>
      <c r="S64" s="119" t="s">
        <v>329</v>
      </c>
      <c r="T64" s="119">
        <v>714</v>
      </c>
      <c r="U64" s="119">
        <v>714</v>
      </c>
      <c r="V64" s="119">
        <v>711</v>
      </c>
      <c r="W64" s="119">
        <v>727</v>
      </c>
      <c r="X64" s="119">
        <v>725</v>
      </c>
      <c r="Y64" s="119">
        <v>725</v>
      </c>
      <c r="Z64" s="119">
        <v>725</v>
      </c>
      <c r="AA64" s="119">
        <v>725</v>
      </c>
      <c r="AB64" s="119">
        <v>725</v>
      </c>
      <c r="AC64" s="119">
        <v>725</v>
      </c>
      <c r="AD64" s="119">
        <v>725</v>
      </c>
      <c r="AE64" s="119">
        <v>725</v>
      </c>
    </row>
    <row r="65" spans="1:31" ht="14.25" hidden="1" outlineLevel="1">
      <c r="A65" s="107" t="s">
        <v>46</v>
      </c>
      <c r="B65" s="107"/>
      <c r="C65" s="107">
        <v>-177</v>
      </c>
      <c r="D65" s="107">
        <v>-121</v>
      </c>
      <c r="E65" s="107">
        <v>59</v>
      </c>
      <c r="F65" s="107">
        <v>-916</v>
      </c>
      <c r="G65" s="107">
        <v>-570</v>
      </c>
      <c r="H65" s="107">
        <v>6509</v>
      </c>
      <c r="I65" s="107">
        <v>4366</v>
      </c>
      <c r="J65" s="13">
        <v>0</v>
      </c>
      <c r="K65" s="107"/>
      <c r="L65" s="107"/>
      <c r="M65" s="107"/>
      <c r="N65" s="107"/>
      <c r="O65" s="107"/>
      <c r="P65" s="107"/>
      <c r="Q65" s="107"/>
      <c r="S65" s="119" t="s">
        <v>320</v>
      </c>
      <c r="T65" s="119">
        <f aca="true" t="shared" si="39" ref="T65:AE65">T63+T64</f>
        <v>714</v>
      </c>
      <c r="U65" s="119">
        <f t="shared" si="39"/>
        <v>5248</v>
      </c>
      <c r="V65" s="119">
        <f t="shared" si="39"/>
        <v>18082</v>
      </c>
      <c r="W65" s="119">
        <f t="shared" si="39"/>
        <v>32097</v>
      </c>
      <c r="X65" s="119">
        <f t="shared" si="39"/>
        <v>10948</v>
      </c>
      <c r="Y65" s="119">
        <f t="shared" si="39"/>
        <v>10949</v>
      </c>
      <c r="Z65" s="119">
        <f t="shared" si="39"/>
        <v>10951</v>
      </c>
      <c r="AA65" s="119">
        <f t="shared" si="39"/>
        <v>27451</v>
      </c>
      <c r="AB65" s="119">
        <f t="shared" si="39"/>
        <v>37949</v>
      </c>
      <c r="AC65" s="119">
        <f t="shared" si="39"/>
        <v>45952</v>
      </c>
      <c r="AD65" s="119">
        <f t="shared" si="39"/>
        <v>53949</v>
      </c>
      <c r="AE65" s="119">
        <f t="shared" si="39"/>
        <v>50423</v>
      </c>
    </row>
    <row r="66" spans="1:25" ht="28.5" collapsed="1">
      <c r="A66" s="130" t="s">
        <v>331</v>
      </c>
      <c r="B66" s="13"/>
      <c r="C66" s="13"/>
      <c r="D66" s="13"/>
      <c r="E66" s="13"/>
      <c r="F66" s="13"/>
      <c r="G66" s="13"/>
      <c r="H66" s="13">
        <v>143</v>
      </c>
      <c r="I66" s="107"/>
      <c r="J66" s="13">
        <v>3200</v>
      </c>
      <c r="K66" s="107"/>
      <c r="L66" s="107"/>
      <c r="M66" s="107"/>
      <c r="N66" s="107"/>
      <c r="O66" s="107"/>
      <c r="P66" s="107"/>
      <c r="Q66" s="107"/>
      <c r="W66" s="119"/>
      <c r="X66" s="119"/>
      <c r="Y66" s="119"/>
    </row>
    <row r="67" spans="1:25" ht="28.5">
      <c r="A67" s="130" t="s">
        <v>332</v>
      </c>
      <c r="B67" s="13"/>
      <c r="C67" s="13"/>
      <c r="D67" s="13"/>
      <c r="E67" s="13"/>
      <c r="F67" s="13"/>
      <c r="G67" s="13"/>
      <c r="H67" s="13">
        <v>-4</v>
      </c>
      <c r="I67" s="107"/>
      <c r="J67" s="13">
        <v>-17</v>
      </c>
      <c r="K67" s="107"/>
      <c r="L67" s="107"/>
      <c r="M67" s="107"/>
      <c r="N67" s="107"/>
      <c r="O67" s="107"/>
      <c r="P67" s="107"/>
      <c r="Q67" s="107"/>
      <c r="S67" s="106" t="s">
        <v>428</v>
      </c>
      <c r="X67" s="119"/>
      <c r="Y67" s="119"/>
    </row>
    <row r="68" spans="1:23" ht="14.25">
      <c r="A68" s="120" t="s">
        <v>8</v>
      </c>
      <c r="B68" s="120">
        <f>B64-B65+B66+B67</f>
        <v>-293</v>
      </c>
      <c r="C68" s="120">
        <f>C64-C65+C66+C67</f>
        <v>-2867</v>
      </c>
      <c r="D68" s="120">
        <f>D64-D65+D66+D67</f>
        <v>-11460</v>
      </c>
      <c r="E68" s="120">
        <f>E64-E65+E66+E67</f>
        <v>-15656</v>
      </c>
      <c r="F68" s="120">
        <f>F64-F65+F66+F67</f>
        <v>1218</v>
      </c>
      <c r="G68" s="104">
        <f aca="true" t="shared" si="40" ref="G68:L68">G64-G65+G66+G67</f>
        <v>1627</v>
      </c>
      <c r="H68" s="104">
        <f t="shared" si="40"/>
        <v>-12364</v>
      </c>
      <c r="I68" s="104">
        <f t="shared" si="40"/>
        <v>-15267</v>
      </c>
      <c r="J68" s="621">
        <v>689</v>
      </c>
      <c r="K68" s="104">
        <f t="shared" si="40"/>
        <v>6718</v>
      </c>
      <c r="L68" s="104">
        <f t="shared" si="40"/>
        <v>4201</v>
      </c>
      <c r="M68" s="104">
        <f>M64-M65+M66+M67</f>
        <v>6301</v>
      </c>
      <c r="N68" s="104">
        <f>N64-N65+N66+N67</f>
        <v>6248</v>
      </c>
      <c r="O68" s="104">
        <f>O64-O65+O66+O67</f>
        <v>5426</v>
      </c>
      <c r="P68" s="104">
        <f>P64-P65+P66+P67</f>
        <v>4808</v>
      </c>
      <c r="Q68" s="104">
        <f>Q64-Q65+Q66+Q67</f>
        <v>5326</v>
      </c>
      <c r="S68" s="106" t="s">
        <v>426</v>
      </c>
      <c r="V68" s="106">
        <v>63000</v>
      </c>
      <c r="W68" s="106" t="s">
        <v>429</v>
      </c>
    </row>
    <row r="69" spans="19:23" ht="14.25">
      <c r="S69" s="106" t="s">
        <v>427</v>
      </c>
      <c r="V69" s="106">
        <v>179000</v>
      </c>
      <c r="W69" s="106" t="s">
        <v>429</v>
      </c>
    </row>
    <row r="70" spans="2:5" ht="14.25">
      <c r="B70" s="106">
        <f>+B30+B44+B45</f>
        <v>94055</v>
      </c>
      <c r="C70" s="106">
        <f>+C30+C44+C45</f>
        <v>177599</v>
      </c>
      <c r="D70" s="106">
        <f>+D30+D44+D45</f>
        <v>205334</v>
      </c>
      <c r="E70" s="106">
        <f>+E30+E44+E45</f>
        <v>263659</v>
      </c>
    </row>
    <row r="71" spans="2:30" ht="14.25">
      <c r="B71" s="124">
        <f>+B70/(B23+B55)</f>
        <v>0.9177709256259636</v>
      </c>
      <c r="C71" s="124">
        <f>+C70/(C23+C55)</f>
        <v>0.9296916714652149</v>
      </c>
      <c r="D71" s="124">
        <f>+D70/(D23+D55)</f>
        <v>0.9449854570892088</v>
      </c>
      <c r="E71" s="124">
        <f>+E70/(E23+E55)</f>
        <v>0.963768089453926</v>
      </c>
      <c r="S71" s="401" t="s">
        <v>551</v>
      </c>
      <c r="T71" s="401"/>
      <c r="U71" s="402">
        <v>2013</v>
      </c>
      <c r="V71" s="402">
        <v>2014</v>
      </c>
      <c r="W71" s="402">
        <v>2015</v>
      </c>
      <c r="X71" s="402">
        <v>2016</v>
      </c>
      <c r="Y71" s="402">
        <v>2017</v>
      </c>
      <c r="Z71" s="402">
        <v>2018</v>
      </c>
      <c r="AA71" s="402">
        <v>2019</v>
      </c>
      <c r="AB71" s="402">
        <v>2020</v>
      </c>
      <c r="AC71" s="402">
        <v>2021</v>
      </c>
      <c r="AD71" s="402">
        <v>2022</v>
      </c>
    </row>
    <row r="72" spans="19:23" ht="14.25">
      <c r="S72" s="371"/>
      <c r="T72" s="371"/>
      <c r="U72" s="371"/>
      <c r="V72" s="371"/>
      <c r="W72" s="371"/>
    </row>
    <row r="73" spans="19:30" ht="14.25">
      <c r="S73" s="371" t="s">
        <v>531</v>
      </c>
      <c r="T73" s="371"/>
      <c r="U73" s="392">
        <v>18806</v>
      </c>
      <c r="V73" s="392">
        <v>18806</v>
      </c>
      <c r="W73" s="392">
        <v>18806</v>
      </c>
      <c r="X73" s="392">
        <v>6300</v>
      </c>
      <c r="Y73" s="392">
        <v>6300</v>
      </c>
      <c r="Z73" s="392">
        <v>6300</v>
      </c>
      <c r="AA73" s="392">
        <v>6300</v>
      </c>
      <c r="AB73" s="392">
        <v>6300</v>
      </c>
      <c r="AC73" s="392">
        <v>6300</v>
      </c>
      <c r="AD73" s="392">
        <v>6300</v>
      </c>
    </row>
    <row r="74" spans="19:30" ht="14.25">
      <c r="S74" s="371" t="s">
        <v>530</v>
      </c>
      <c r="T74" s="371"/>
      <c r="U74" s="392">
        <f>32800</f>
        <v>32800</v>
      </c>
      <c r="V74" s="392">
        <f>1199+32800</f>
        <v>33999</v>
      </c>
      <c r="W74" s="392">
        <f>1199+32800</f>
        <v>33999</v>
      </c>
      <c r="X74" s="392">
        <v>17900</v>
      </c>
      <c r="Y74" s="392">
        <v>17900</v>
      </c>
      <c r="Z74" s="392">
        <v>17900</v>
      </c>
      <c r="AA74" s="392">
        <v>17900</v>
      </c>
      <c r="AB74" s="392">
        <v>17900</v>
      </c>
      <c r="AC74" s="392">
        <v>17900</v>
      </c>
      <c r="AD74" s="392">
        <v>17900</v>
      </c>
    </row>
    <row r="75" spans="19:30" ht="14.25">
      <c r="S75" s="371" t="s">
        <v>626</v>
      </c>
      <c r="T75" s="371"/>
      <c r="U75" s="392"/>
      <c r="V75" s="392"/>
      <c r="W75" s="392"/>
      <c r="X75" s="392"/>
      <c r="Y75" s="392"/>
      <c r="Z75" s="392"/>
      <c r="AA75" s="392">
        <f>+AA59</f>
        <v>16500</v>
      </c>
      <c r="AB75" s="392">
        <f>+AB59+AB60</f>
        <v>27000</v>
      </c>
      <c r="AC75" s="392">
        <f>+AC59+AC60</f>
        <v>27000</v>
      </c>
      <c r="AD75" s="392">
        <f>+AD59+AD60+AD62</f>
        <v>35000</v>
      </c>
    </row>
    <row r="76" spans="19:30" ht="14.25">
      <c r="S76" s="371" t="s">
        <v>412</v>
      </c>
      <c r="T76" s="371"/>
      <c r="U76" s="392">
        <f>4300+375+398+477+101+1942+550+15+45</f>
        <v>8203</v>
      </c>
      <c r="V76" s="392">
        <f>4300+375+398+477+101+1942+550+15+45</f>
        <v>8203</v>
      </c>
      <c r="W76" s="392">
        <v>8703</v>
      </c>
      <c r="X76" s="392">
        <f aca="true" t="shared" si="41" ref="X76:AD76">$W76+W24</f>
        <v>8863</v>
      </c>
      <c r="Y76" s="392">
        <f t="shared" si="41"/>
        <v>9691</v>
      </c>
      <c r="Z76" s="392">
        <f t="shared" si="41"/>
        <v>11081</v>
      </c>
      <c r="AA76" s="392">
        <f t="shared" si="41"/>
        <v>12515</v>
      </c>
      <c r="AB76" s="392">
        <f t="shared" si="41"/>
        <v>14181</v>
      </c>
      <c r="AC76" s="392">
        <f t="shared" si="41"/>
        <v>16143</v>
      </c>
      <c r="AD76" s="392">
        <f t="shared" si="41"/>
        <v>18171</v>
      </c>
    </row>
    <row r="77" spans="19:30" ht="14.25">
      <c r="S77" s="371" t="s">
        <v>402</v>
      </c>
      <c r="T77" s="371"/>
      <c r="U77" s="392">
        <f>216+226+1332+7505+81+1984+686+88+120+1098</f>
        <v>13336</v>
      </c>
      <c r="V77" s="392">
        <f>216+226+1332+7505+81+1984+686+88+120+1098</f>
        <v>13336</v>
      </c>
      <c r="W77" s="392">
        <v>16703</v>
      </c>
      <c r="X77" s="392">
        <f aca="true" t="shared" si="42" ref="X77:AD77">$W77+W38</f>
        <v>17066</v>
      </c>
      <c r="Y77" s="392">
        <f t="shared" si="42"/>
        <v>18473</v>
      </c>
      <c r="Z77" s="392">
        <f t="shared" si="42"/>
        <v>19757</v>
      </c>
      <c r="AA77" s="392">
        <f t="shared" si="42"/>
        <v>21084</v>
      </c>
      <c r="AB77" s="392">
        <f t="shared" si="42"/>
        <v>22394</v>
      </c>
      <c r="AC77" s="392">
        <f t="shared" si="42"/>
        <v>23575</v>
      </c>
      <c r="AD77" s="392">
        <f t="shared" si="42"/>
        <v>24122</v>
      </c>
    </row>
    <row r="78" spans="19:30" ht="14.25">
      <c r="S78" s="371" t="s">
        <v>552</v>
      </c>
      <c r="T78" s="371"/>
      <c r="U78" s="392">
        <v>3870</v>
      </c>
      <c r="V78" s="392">
        <v>6200</v>
      </c>
      <c r="W78" s="392">
        <v>6200</v>
      </c>
      <c r="X78" s="392">
        <v>6200</v>
      </c>
      <c r="Y78" s="392">
        <f aca="true" t="shared" si="43" ref="Y78:AD78">6200+Y42</f>
        <v>6500</v>
      </c>
      <c r="Z78" s="392">
        <f t="shared" si="43"/>
        <v>6500</v>
      </c>
      <c r="AA78" s="392">
        <f t="shared" si="43"/>
        <v>6800</v>
      </c>
      <c r="AB78" s="392">
        <f t="shared" si="43"/>
        <v>6800</v>
      </c>
      <c r="AC78" s="392">
        <f t="shared" si="43"/>
        <v>7400</v>
      </c>
      <c r="AD78" s="392">
        <f t="shared" si="43"/>
        <v>7400</v>
      </c>
    </row>
    <row r="79" spans="19:30" ht="14.25">
      <c r="S79" s="371" t="s">
        <v>553</v>
      </c>
      <c r="T79" s="371"/>
      <c r="U79" s="392">
        <f>79018-77016</f>
        <v>2002</v>
      </c>
      <c r="V79" s="392">
        <f>82994-80544-59</f>
        <v>2391</v>
      </c>
      <c r="W79" s="392">
        <f>87419-84411</f>
        <v>3008</v>
      </c>
      <c r="X79" s="392">
        <f>+W79+20</f>
        <v>3028</v>
      </c>
      <c r="Y79" s="392">
        <f aca="true" t="shared" si="44" ref="Y79:AD79">+X79+20</f>
        <v>3048</v>
      </c>
      <c r="Z79" s="392">
        <f t="shared" si="44"/>
        <v>3068</v>
      </c>
      <c r="AA79" s="392">
        <f t="shared" si="44"/>
        <v>3088</v>
      </c>
      <c r="AB79" s="392">
        <f t="shared" si="44"/>
        <v>3108</v>
      </c>
      <c r="AC79" s="392">
        <f t="shared" si="44"/>
        <v>3128</v>
      </c>
      <c r="AD79" s="392">
        <f t="shared" si="44"/>
        <v>3148</v>
      </c>
    </row>
    <row r="80" spans="19:30" ht="15" thickBot="1">
      <c r="S80" s="403" t="s">
        <v>554</v>
      </c>
      <c r="T80" s="403"/>
      <c r="U80" s="404">
        <f aca="true" t="shared" si="45" ref="U80:AD80">SUM(U73:U79)</f>
        <v>79017</v>
      </c>
      <c r="V80" s="404">
        <f t="shared" si="45"/>
        <v>82935</v>
      </c>
      <c r="W80" s="404">
        <f t="shared" si="45"/>
        <v>87419</v>
      </c>
      <c r="X80" s="404">
        <f t="shared" si="45"/>
        <v>59357</v>
      </c>
      <c r="Y80" s="404">
        <f t="shared" si="45"/>
        <v>61912</v>
      </c>
      <c r="Z80" s="404">
        <f t="shared" si="45"/>
        <v>64606</v>
      </c>
      <c r="AA80" s="404">
        <f t="shared" si="45"/>
        <v>84187</v>
      </c>
      <c r="AB80" s="404">
        <f t="shared" si="45"/>
        <v>97683</v>
      </c>
      <c r="AC80" s="404">
        <f t="shared" si="45"/>
        <v>101446</v>
      </c>
      <c r="AD80" s="404">
        <f t="shared" si="45"/>
        <v>112041</v>
      </c>
    </row>
    <row r="81" ht="15" thickTop="1"/>
  </sheetData>
  <sheetProtection/>
  <mergeCells count="1">
    <mergeCell ref="O1:Q1"/>
  </mergeCells>
  <printOptions/>
  <pageMargins left="0.5118110236220472" right="0.15748031496062992" top="0.2" bottom="0.2362204724409449" header="0.17" footer="0.2362204724409449"/>
  <pageSetup horizontalDpi="300" verticalDpi="300" orientation="landscape" pageOrder="overThenDown" paperSize="9" scale="55" r:id="rId3"/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140625" defaultRowHeight="12.75" outlineLevelRow="1" outlineLevelCol="1"/>
  <cols>
    <col min="1" max="1" width="52.8515625" style="4" customWidth="1"/>
    <col min="2" max="3" width="13.421875" style="4" hidden="1" customWidth="1" outlineLevel="1"/>
    <col min="4" max="4" width="10.28125" style="4" hidden="1" customWidth="1" outlineLevel="1"/>
    <col min="5" max="5" width="10.28125" style="4" customWidth="1" collapsed="1"/>
    <col min="6" max="7" width="10.28125" style="4" customWidth="1"/>
    <col min="8" max="11" width="10.00390625" style="106" customWidth="1"/>
    <col min="12" max="12" width="11.00390625" style="106" customWidth="1"/>
    <col min="13" max="13" width="9.28125" style="4" customWidth="1"/>
    <col min="14" max="14" width="19.7109375" style="4" hidden="1" customWidth="1" outlineLevel="1"/>
    <col min="15" max="26" width="9.140625" style="4" hidden="1" customWidth="1" outlineLevel="1"/>
    <col min="27" max="27" width="9.140625" style="4" customWidth="1" collapsed="1"/>
    <col min="28" max="16384" width="9.140625" style="4" customWidth="1"/>
  </cols>
  <sheetData>
    <row r="1" spans="1:11" s="106" customFormat="1" ht="14.25">
      <c r="A1" s="104" t="s">
        <v>42</v>
      </c>
      <c r="C1" s="105"/>
      <c r="F1" s="105"/>
      <c r="G1" s="105"/>
      <c r="H1" s="784" t="s">
        <v>620</v>
      </c>
      <c r="I1" s="784"/>
      <c r="J1" s="784"/>
      <c r="K1" s="105" t="s">
        <v>343</v>
      </c>
    </row>
    <row r="2" spans="1:12" s="106" customFormat="1" ht="14.25">
      <c r="A2" s="105" t="s">
        <v>114</v>
      </c>
      <c r="C2" s="105"/>
      <c r="L2" s="105" t="s">
        <v>48</v>
      </c>
    </row>
    <row r="3" s="106" customFormat="1" ht="2.25" customHeight="1">
      <c r="A3" s="107"/>
    </row>
    <row r="4" spans="1:12" s="106" customFormat="1" ht="14.25">
      <c r="A4" s="108"/>
      <c r="B4" s="108"/>
      <c r="C4" s="108"/>
      <c r="D4" s="109" t="s">
        <v>254</v>
      </c>
      <c r="E4" s="127"/>
      <c r="F4" s="127"/>
      <c r="G4" s="127"/>
      <c r="H4" s="108"/>
      <c r="I4" s="108"/>
      <c r="J4" s="108"/>
      <c r="K4" s="108"/>
      <c r="L4" s="108"/>
    </row>
    <row r="5" spans="1:12" s="106" customFormat="1" ht="14.25">
      <c r="A5" s="110" t="s">
        <v>37</v>
      </c>
      <c r="B5" s="108" t="s">
        <v>3</v>
      </c>
      <c r="C5" s="108" t="s">
        <v>3</v>
      </c>
      <c r="D5" s="108" t="s">
        <v>10</v>
      </c>
      <c r="E5" s="108" t="s">
        <v>111</v>
      </c>
      <c r="F5" s="108" t="s">
        <v>2</v>
      </c>
      <c r="G5" s="108" t="s">
        <v>2</v>
      </c>
      <c r="H5" s="108" t="s">
        <v>2</v>
      </c>
      <c r="I5" s="108" t="s">
        <v>2</v>
      </c>
      <c r="J5" s="108" t="s">
        <v>2</v>
      </c>
      <c r="K5" s="108" t="s">
        <v>2</v>
      </c>
      <c r="L5" s="108" t="s">
        <v>2</v>
      </c>
    </row>
    <row r="6" spans="1:12" s="106" customFormat="1" ht="14.25">
      <c r="A6" s="111"/>
      <c r="B6" s="112" t="s">
        <v>52</v>
      </c>
      <c r="C6" s="112" t="s">
        <v>53</v>
      </c>
      <c r="D6" s="112" t="s">
        <v>54</v>
      </c>
      <c r="E6" s="112" t="s">
        <v>96</v>
      </c>
      <c r="F6" s="112" t="s">
        <v>97</v>
      </c>
      <c r="G6" s="112" t="s">
        <v>112</v>
      </c>
      <c r="H6" s="112" t="s">
        <v>337</v>
      </c>
      <c r="I6" s="112" t="s">
        <v>338</v>
      </c>
      <c r="J6" s="112" t="s">
        <v>339</v>
      </c>
      <c r="K6" s="112" t="s">
        <v>340</v>
      </c>
      <c r="L6" s="112" t="s">
        <v>341</v>
      </c>
    </row>
    <row r="7" spans="1:12" s="106" customFormat="1" ht="14.25">
      <c r="A7" s="104" t="s">
        <v>5</v>
      </c>
      <c r="B7" s="107">
        <f aca="true" t="shared" si="0" ref="B7:G7">B8+B11</f>
        <v>79692</v>
      </c>
      <c r="C7" s="107">
        <f t="shared" si="0"/>
        <v>75707</v>
      </c>
      <c r="D7" s="107">
        <f t="shared" si="0"/>
        <v>70196</v>
      </c>
      <c r="E7" s="107">
        <f t="shared" si="0"/>
        <v>69805</v>
      </c>
      <c r="F7" s="107">
        <f t="shared" si="0"/>
        <v>74006</v>
      </c>
      <c r="G7" s="107">
        <f t="shared" si="0"/>
        <v>75703</v>
      </c>
      <c r="H7" s="107">
        <f>H8+H11</f>
        <v>78066</v>
      </c>
      <c r="I7" s="107">
        <f>I8+I11</f>
        <v>82403</v>
      </c>
      <c r="J7" s="107">
        <f>J8+J11</f>
        <v>87139</v>
      </c>
      <c r="K7" s="107">
        <f>K8+K11</f>
        <v>91843</v>
      </c>
      <c r="L7" s="107">
        <f>L8+L11</f>
        <v>97265</v>
      </c>
    </row>
    <row r="8" spans="1:12" s="106" customFormat="1" ht="14.25">
      <c r="A8" s="107" t="s">
        <v>20</v>
      </c>
      <c r="B8" s="107">
        <f aca="true" t="shared" si="1" ref="B8:L8">B9</f>
        <v>77359</v>
      </c>
      <c r="C8" s="107">
        <f t="shared" si="1"/>
        <v>73900</v>
      </c>
      <c r="D8" s="107">
        <f t="shared" si="1"/>
        <v>68180</v>
      </c>
      <c r="E8" s="107">
        <f t="shared" si="1"/>
        <v>68129</v>
      </c>
      <c r="F8" s="107">
        <f t="shared" si="1"/>
        <v>73009</v>
      </c>
      <c r="G8" s="107">
        <f t="shared" si="1"/>
        <v>74691</v>
      </c>
      <c r="H8" s="107">
        <f t="shared" si="1"/>
        <v>77038</v>
      </c>
      <c r="I8" s="107">
        <f t="shared" si="1"/>
        <v>81358</v>
      </c>
      <c r="J8" s="107">
        <f t="shared" si="1"/>
        <v>86078</v>
      </c>
      <c r="K8" s="107">
        <f t="shared" si="1"/>
        <v>90765</v>
      </c>
      <c r="L8" s="107">
        <f t="shared" si="1"/>
        <v>96170</v>
      </c>
    </row>
    <row r="9" spans="1:12" s="106" customFormat="1" ht="14.25">
      <c r="A9" s="113" t="s">
        <v>0</v>
      </c>
      <c r="B9" s="107">
        <f>OPR!G9</f>
        <v>77359</v>
      </c>
      <c r="C9" s="107">
        <f>OPR!H9</f>
        <v>73900</v>
      </c>
      <c r="D9" s="107">
        <f>OPR!I9</f>
        <v>68180</v>
      </c>
      <c r="E9" s="107">
        <f>OPR!J9</f>
        <v>68129</v>
      </c>
      <c r="F9" s="107">
        <f>OPR!K9</f>
        <v>73009</v>
      </c>
      <c r="G9" s="107">
        <f>OPR!L9</f>
        <v>74691</v>
      </c>
      <c r="H9" s="107">
        <f>OPR!M9</f>
        <v>77038</v>
      </c>
      <c r="I9" s="107">
        <f>OPR!N9</f>
        <v>81358</v>
      </c>
      <c r="J9" s="107">
        <f>OPR!O9</f>
        <v>86078</v>
      </c>
      <c r="K9" s="107">
        <f>OPR!P9</f>
        <v>90765</v>
      </c>
      <c r="L9" s="107">
        <f>OPR!Q9</f>
        <v>96170</v>
      </c>
    </row>
    <row r="10" spans="1:12" s="106" customFormat="1" ht="14.25">
      <c r="A10" s="114" t="s">
        <v>21</v>
      </c>
      <c r="B10" s="107">
        <f>OPR!G10</f>
        <v>17348</v>
      </c>
      <c r="C10" s="107">
        <f>OPR!H10</f>
        <v>16544</v>
      </c>
      <c r="D10" s="107">
        <f>OPR!I10</f>
        <v>14988</v>
      </c>
      <c r="E10" s="107">
        <f>OPR!J10</f>
        <v>16175</v>
      </c>
      <c r="F10" s="107">
        <f>OPR!K10</f>
        <v>16175</v>
      </c>
      <c r="G10" s="107">
        <f>OPR!L10</f>
        <v>16175</v>
      </c>
      <c r="H10" s="107">
        <f>OPR!M10</f>
        <v>16175</v>
      </c>
      <c r="I10" s="107">
        <f>OPR!N10</f>
        <v>16175</v>
      </c>
      <c r="J10" s="107">
        <f>OPR!O10</f>
        <v>18062</v>
      </c>
      <c r="K10" s="107">
        <f>OPR!P10</f>
        <v>18062</v>
      </c>
      <c r="L10" s="107">
        <f>OPR!Q10</f>
        <v>18062</v>
      </c>
    </row>
    <row r="11" spans="1:12" s="106" customFormat="1" ht="14.25">
      <c r="A11" s="107" t="s">
        <v>19</v>
      </c>
      <c r="B11" s="107">
        <f aca="true" t="shared" si="2" ref="B11:L11">SUM(B12:B12)</f>
        <v>2333</v>
      </c>
      <c r="C11" s="107">
        <f t="shared" si="2"/>
        <v>1807</v>
      </c>
      <c r="D11" s="107">
        <f t="shared" si="2"/>
        <v>2016</v>
      </c>
      <c r="E11" s="107">
        <f t="shared" si="2"/>
        <v>1676</v>
      </c>
      <c r="F11" s="107">
        <f t="shared" si="2"/>
        <v>997</v>
      </c>
      <c r="G11" s="107">
        <f t="shared" si="2"/>
        <v>1012</v>
      </c>
      <c r="H11" s="107">
        <f t="shared" si="2"/>
        <v>1028</v>
      </c>
      <c r="I11" s="107">
        <f t="shared" si="2"/>
        <v>1045</v>
      </c>
      <c r="J11" s="107">
        <f t="shared" si="2"/>
        <v>1061</v>
      </c>
      <c r="K11" s="107">
        <f t="shared" si="2"/>
        <v>1078</v>
      </c>
      <c r="L11" s="107">
        <f t="shared" si="2"/>
        <v>1095</v>
      </c>
    </row>
    <row r="12" spans="1:12" s="106" customFormat="1" ht="14.25">
      <c r="A12" s="123" t="s">
        <v>34</v>
      </c>
      <c r="B12" s="107">
        <f>OPR!G12</f>
        <v>2333</v>
      </c>
      <c r="C12" s="107">
        <f>OPR!H12</f>
        <v>1807</v>
      </c>
      <c r="D12" s="107">
        <f>OPR!I12</f>
        <v>2016</v>
      </c>
      <c r="E12" s="107">
        <f>OPR!J12</f>
        <v>1676</v>
      </c>
      <c r="F12" s="107">
        <f>OPR!K12</f>
        <v>997</v>
      </c>
      <c r="G12" s="107">
        <f>OPR!L12</f>
        <v>1012</v>
      </c>
      <c r="H12" s="107">
        <f>OPR!M12</f>
        <v>1028</v>
      </c>
      <c r="I12" s="107">
        <f>OPR!N12</f>
        <v>1045</v>
      </c>
      <c r="J12" s="107">
        <f>OPR!O12</f>
        <v>1061</v>
      </c>
      <c r="K12" s="107">
        <f>OPR!P12</f>
        <v>1078</v>
      </c>
      <c r="L12" s="107">
        <f>OPR!Q12</f>
        <v>1095</v>
      </c>
    </row>
    <row r="13" spans="1:21" s="106" customFormat="1" ht="14.25">
      <c r="A13" s="115" t="s">
        <v>25</v>
      </c>
      <c r="B13" s="107">
        <f aca="true" t="shared" si="3" ref="B13:G13">B14+B15</f>
        <v>14906</v>
      </c>
      <c r="C13" s="107">
        <f t="shared" si="3"/>
        <v>7913</v>
      </c>
      <c r="D13" s="107">
        <f t="shared" si="3"/>
        <v>5974</v>
      </c>
      <c r="E13" s="107">
        <f t="shared" si="3"/>
        <v>4828</v>
      </c>
      <c r="F13" s="107">
        <f t="shared" si="3"/>
        <v>4538</v>
      </c>
      <c r="G13" s="107">
        <f t="shared" si="3"/>
        <v>4643</v>
      </c>
      <c r="H13" s="107">
        <f>H14+H15</f>
        <v>4745</v>
      </c>
      <c r="I13" s="107">
        <f>I14+I15</f>
        <v>4849</v>
      </c>
      <c r="J13" s="107">
        <f>J14+J15</f>
        <v>4956</v>
      </c>
      <c r="K13" s="107">
        <f>K14+K15</f>
        <v>5074</v>
      </c>
      <c r="L13" s="107">
        <f>L14+L15</f>
        <v>5176</v>
      </c>
      <c r="N13" s="116"/>
      <c r="O13" s="116"/>
      <c r="P13" s="116"/>
      <c r="Q13" s="116"/>
      <c r="R13" s="116"/>
      <c r="S13" s="116"/>
      <c r="T13" s="116"/>
      <c r="U13" s="116"/>
    </row>
    <row r="14" spans="1:12" s="106" customFormat="1" ht="14.25">
      <c r="A14" s="114" t="s">
        <v>18</v>
      </c>
      <c r="B14" s="107">
        <f>OPR!G14</f>
        <v>4308</v>
      </c>
      <c r="C14" s="107">
        <f>OPR!H14</f>
        <v>1751</v>
      </c>
      <c r="D14" s="107">
        <f>OPR!I14</f>
        <v>2867</v>
      </c>
      <c r="E14" s="107">
        <f>OPR!J14</f>
        <v>2666</v>
      </c>
      <c r="F14" s="107">
        <f>OPR!K14</f>
        <v>2922</v>
      </c>
      <c r="G14" s="107">
        <f>OPR!L14</f>
        <v>2986</v>
      </c>
      <c r="H14" s="107">
        <f>OPR!M14</f>
        <v>3052</v>
      </c>
      <c r="I14" s="107">
        <f>OPR!N14</f>
        <v>3119</v>
      </c>
      <c r="J14" s="107">
        <f>OPR!O14</f>
        <v>3188</v>
      </c>
      <c r="K14" s="107">
        <f>OPR!P14</f>
        <v>3258</v>
      </c>
      <c r="L14" s="107">
        <f>OPR!Q14</f>
        <v>3330</v>
      </c>
    </row>
    <row r="15" spans="1:12" s="106" customFormat="1" ht="14.25">
      <c r="A15" s="114" t="s">
        <v>22</v>
      </c>
      <c r="B15" s="107">
        <f aca="true" t="shared" si="4" ref="B15:L15">SUM(B16:B19)</f>
        <v>10598</v>
      </c>
      <c r="C15" s="107">
        <f t="shared" si="4"/>
        <v>6162</v>
      </c>
      <c r="D15" s="107">
        <f t="shared" si="4"/>
        <v>3107</v>
      </c>
      <c r="E15" s="107">
        <f t="shared" si="4"/>
        <v>2162</v>
      </c>
      <c r="F15" s="107">
        <f t="shared" si="4"/>
        <v>1616</v>
      </c>
      <c r="G15" s="107">
        <f t="shared" si="4"/>
        <v>1657</v>
      </c>
      <c r="H15" s="107">
        <f t="shared" si="4"/>
        <v>1693</v>
      </c>
      <c r="I15" s="107">
        <f t="shared" si="4"/>
        <v>1730</v>
      </c>
      <c r="J15" s="107">
        <f t="shared" si="4"/>
        <v>1768</v>
      </c>
      <c r="K15" s="107">
        <f t="shared" si="4"/>
        <v>1816</v>
      </c>
      <c r="L15" s="107">
        <f t="shared" si="4"/>
        <v>1846</v>
      </c>
    </row>
    <row r="16" spans="1:12" s="106" customFormat="1" ht="14.25">
      <c r="A16" s="123" t="s">
        <v>38</v>
      </c>
      <c r="B16" s="107">
        <f>OPR!G16</f>
        <v>0</v>
      </c>
      <c r="C16" s="107">
        <f>OPR!H16</f>
        <v>0</v>
      </c>
      <c r="D16" s="107">
        <f>OPR!I16</f>
        <v>0</v>
      </c>
      <c r="E16" s="107">
        <f>OPR!J16</f>
        <v>0</v>
      </c>
      <c r="F16" s="107">
        <f>OPR!K16</f>
        <v>0</v>
      </c>
      <c r="G16" s="107">
        <f>OPR!L16</f>
        <v>0</v>
      </c>
      <c r="H16" s="107">
        <f>OPR!M16</f>
        <v>0</v>
      </c>
      <c r="I16" s="107">
        <f>OPR!N16</f>
        <v>0</v>
      </c>
      <c r="J16" s="107">
        <f>OPR!O16</f>
        <v>0</v>
      </c>
      <c r="K16" s="107">
        <f>OPR!P16</f>
        <v>0</v>
      </c>
      <c r="L16" s="107">
        <f>OPR!Q16</f>
        <v>0</v>
      </c>
    </row>
    <row r="17" spans="1:12" s="106" customFormat="1" ht="14.25">
      <c r="A17" s="123" t="s">
        <v>33</v>
      </c>
      <c r="B17" s="107">
        <f>OPR!G17</f>
        <v>2775</v>
      </c>
      <c r="C17" s="107">
        <f>OPR!H17</f>
        <v>284</v>
      </c>
      <c r="D17" s="107">
        <f>OPR!I17</f>
        <v>396</v>
      </c>
      <c r="E17" s="107">
        <f>OPR!J17</f>
        <v>240</v>
      </c>
      <c r="F17" s="107">
        <f>OPR!K17</f>
        <v>0</v>
      </c>
      <c r="G17" s="107">
        <f>OPR!L17</f>
        <v>0</v>
      </c>
      <c r="H17" s="107">
        <f>OPR!M17</f>
        <v>0</v>
      </c>
      <c r="I17" s="107">
        <f>OPR!N17</f>
        <v>0</v>
      </c>
      <c r="J17" s="107">
        <f>OPR!O17</f>
        <v>0</v>
      </c>
      <c r="K17" s="107">
        <f>OPR!P17</f>
        <v>0</v>
      </c>
      <c r="L17" s="107">
        <f>OPR!Q17</f>
        <v>0</v>
      </c>
    </row>
    <row r="18" spans="1:12" s="106" customFormat="1" ht="14.25">
      <c r="A18" s="123" t="s">
        <v>35</v>
      </c>
      <c r="B18" s="107">
        <f>OPR!G18</f>
        <v>233</v>
      </c>
      <c r="C18" s="107">
        <f>OPR!H18</f>
        <v>55</v>
      </c>
      <c r="D18" s="107">
        <f>OPR!I18</f>
        <v>0</v>
      </c>
      <c r="E18" s="107">
        <f>OPR!J18</f>
        <v>1047</v>
      </c>
      <c r="F18" s="107">
        <f>OPR!K18</f>
        <v>900</v>
      </c>
      <c r="G18" s="107">
        <f>OPR!L18</f>
        <v>950</v>
      </c>
      <c r="H18" s="107">
        <f>OPR!M18</f>
        <v>971</v>
      </c>
      <c r="I18" s="107">
        <f>OPR!N18</f>
        <v>992</v>
      </c>
      <c r="J18" s="107">
        <f>OPR!O18</f>
        <v>1014</v>
      </c>
      <c r="K18" s="107">
        <f>OPR!P18</f>
        <v>1036</v>
      </c>
      <c r="L18" s="107">
        <f>OPR!Q18</f>
        <v>1059</v>
      </c>
    </row>
    <row r="19" spans="1:12" s="106" customFormat="1" ht="14.25">
      <c r="A19" s="123" t="s">
        <v>1</v>
      </c>
      <c r="B19" s="107">
        <f>OPR!G19</f>
        <v>7590</v>
      </c>
      <c r="C19" s="107">
        <f>OPR!H19</f>
        <v>5823</v>
      </c>
      <c r="D19" s="107">
        <f>OPR!I19</f>
        <v>2711</v>
      </c>
      <c r="E19" s="107">
        <f>OPR!J19</f>
        <v>875</v>
      </c>
      <c r="F19" s="107">
        <f>OPR!K19</f>
        <v>716</v>
      </c>
      <c r="G19" s="107">
        <f>OPR!L19</f>
        <v>707</v>
      </c>
      <c r="H19" s="107">
        <f>OPR!M19</f>
        <v>722</v>
      </c>
      <c r="I19" s="107">
        <f>OPR!N19</f>
        <v>738</v>
      </c>
      <c r="J19" s="107">
        <f>OPR!O19</f>
        <v>754</v>
      </c>
      <c r="K19" s="107">
        <f>OPR!P19</f>
        <v>780</v>
      </c>
      <c r="L19" s="107">
        <f>OPR!Q19</f>
        <v>787</v>
      </c>
    </row>
    <row r="20" spans="1:12" s="106" customFormat="1" ht="14.25">
      <c r="A20" s="107" t="s">
        <v>24</v>
      </c>
      <c r="B20" s="107">
        <f>OPR!G20</f>
        <v>170000</v>
      </c>
      <c r="C20" s="107">
        <f>OPR!H20</f>
        <v>170000</v>
      </c>
      <c r="D20" s="107">
        <f>OPR!I20</f>
        <v>171331</v>
      </c>
      <c r="E20" s="107">
        <f>OPR!J20</f>
        <v>180000</v>
      </c>
      <c r="F20" s="107">
        <f>OPR!K20</f>
        <v>176942</v>
      </c>
      <c r="G20" s="107">
        <f>OPR!L20</f>
        <v>178426</v>
      </c>
      <c r="H20" s="107">
        <f>OPR!M20</f>
        <v>181718</v>
      </c>
      <c r="I20" s="107">
        <f>OPR!N20</f>
        <v>181733</v>
      </c>
      <c r="J20" s="107">
        <f>OPR!O20</f>
        <v>181444</v>
      </c>
      <c r="K20" s="107">
        <f>OPR!P20</f>
        <v>177855</v>
      </c>
      <c r="L20" s="107">
        <f>OPR!Q20</f>
        <v>180806</v>
      </c>
    </row>
    <row r="21" spans="1:12" s="106" customFormat="1" ht="16.5" customHeight="1">
      <c r="A21" s="120" t="s">
        <v>13</v>
      </c>
      <c r="B21" s="120">
        <f aca="true" t="shared" si="5" ref="B21:L21">B7+B13+B20</f>
        <v>264598</v>
      </c>
      <c r="C21" s="120">
        <f t="shared" si="5"/>
        <v>253620</v>
      </c>
      <c r="D21" s="120">
        <f t="shared" si="5"/>
        <v>247501</v>
      </c>
      <c r="E21" s="120">
        <f t="shared" si="5"/>
        <v>254633</v>
      </c>
      <c r="F21" s="120">
        <f t="shared" si="5"/>
        <v>255486</v>
      </c>
      <c r="G21" s="120">
        <f t="shared" si="5"/>
        <v>258772</v>
      </c>
      <c r="H21" s="120">
        <f t="shared" si="5"/>
        <v>264529</v>
      </c>
      <c r="I21" s="120">
        <f t="shared" si="5"/>
        <v>268985</v>
      </c>
      <c r="J21" s="120">
        <f t="shared" si="5"/>
        <v>273539</v>
      </c>
      <c r="K21" s="120">
        <f t="shared" si="5"/>
        <v>274772</v>
      </c>
      <c r="L21" s="120">
        <f t="shared" si="5"/>
        <v>283247</v>
      </c>
    </row>
    <row r="22" spans="1:12" s="106" customFormat="1" ht="14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s="106" customFormat="1" ht="14.25">
      <c r="A23" s="104" t="s">
        <v>6</v>
      </c>
      <c r="B23" s="104">
        <f>B24+SUM(B27:B30)+SUM(B44:B47)+B52</f>
        <v>185779</v>
      </c>
      <c r="C23" s="104">
        <f>C24+SUM(C27:C30)+SUM(C44:C47)+C52</f>
        <v>180789</v>
      </c>
      <c r="D23" s="120">
        <f>D24+SUM(D27:D30)+SUM(D44:D45)+D47+D52</f>
        <v>189626</v>
      </c>
      <c r="E23" s="120">
        <f>E24+SUM(E27:E30)+SUM(E44:E47)+E52</f>
        <v>203536</v>
      </c>
      <c r="F23" s="120">
        <f aca="true" t="shared" si="6" ref="F23:L23">F24+SUM(F27:F30)+SUM(F44:F47)+F52</f>
        <v>204789</v>
      </c>
      <c r="G23" s="120">
        <f t="shared" si="6"/>
        <v>205490</v>
      </c>
      <c r="H23" s="120">
        <f t="shared" si="6"/>
        <v>207922</v>
      </c>
      <c r="I23" s="120">
        <f t="shared" si="6"/>
        <v>209595</v>
      </c>
      <c r="J23" s="120">
        <f t="shared" si="6"/>
        <v>210287</v>
      </c>
      <c r="K23" s="120">
        <f t="shared" si="6"/>
        <v>215643</v>
      </c>
      <c r="L23" s="120">
        <f t="shared" si="6"/>
        <v>220543</v>
      </c>
    </row>
    <row r="24" spans="1:12" s="106" customFormat="1" ht="14.25">
      <c r="A24" s="121" t="s">
        <v>26</v>
      </c>
      <c r="B24" s="107">
        <f aca="true" t="shared" si="7" ref="B24:G24">B25+B26</f>
        <v>6585</v>
      </c>
      <c r="C24" s="107">
        <f t="shared" si="7"/>
        <v>7427</v>
      </c>
      <c r="D24" s="107">
        <f t="shared" si="7"/>
        <v>7180</v>
      </c>
      <c r="E24" s="107">
        <f t="shared" si="7"/>
        <v>11450</v>
      </c>
      <c r="F24" s="107">
        <f t="shared" si="7"/>
        <v>11602</v>
      </c>
      <c r="G24" s="107">
        <f t="shared" si="7"/>
        <v>11857</v>
      </c>
      <c r="H24" s="107">
        <f>H25+H26</f>
        <v>12118</v>
      </c>
      <c r="I24" s="107">
        <f>I25+I26</f>
        <v>12385</v>
      </c>
      <c r="J24" s="107">
        <f>J25+J26</f>
        <v>12657</v>
      </c>
      <c r="K24" s="107">
        <f>K25+K26</f>
        <v>12935</v>
      </c>
      <c r="L24" s="107">
        <f>L25+L26</f>
        <v>13220</v>
      </c>
    </row>
    <row r="25" spans="1:12" s="106" customFormat="1" ht="14.25">
      <c r="A25" s="114" t="s">
        <v>23</v>
      </c>
      <c r="B25" s="107">
        <f>OPR!G25</f>
        <v>6585</v>
      </c>
      <c r="C25" s="107">
        <f>OPR!H25</f>
        <v>7427</v>
      </c>
      <c r="D25" s="107">
        <f>OPR!I25</f>
        <v>7180</v>
      </c>
      <c r="E25" s="107">
        <f>OPR!J25</f>
        <v>10826</v>
      </c>
      <c r="F25" s="107">
        <f>OPR!K25</f>
        <v>11602</v>
      </c>
      <c r="G25" s="107">
        <f>OPR!L25</f>
        <v>11857</v>
      </c>
      <c r="H25" s="107">
        <f>OPR!M25</f>
        <v>12118</v>
      </c>
      <c r="I25" s="107">
        <f>OPR!N25</f>
        <v>12385</v>
      </c>
      <c r="J25" s="107">
        <f>OPR!O25</f>
        <v>12657</v>
      </c>
      <c r="K25" s="107">
        <f>OPR!P25</f>
        <v>12935</v>
      </c>
      <c r="L25" s="107">
        <f>OPR!Q25</f>
        <v>13220</v>
      </c>
    </row>
    <row r="26" spans="1:12" s="106" customFormat="1" ht="14.25">
      <c r="A26" s="114" t="s">
        <v>22</v>
      </c>
      <c r="B26" s="107"/>
      <c r="C26" s="107"/>
      <c r="D26" s="107"/>
      <c r="E26" s="107">
        <f>OPR!J26</f>
        <v>624</v>
      </c>
      <c r="F26" s="107"/>
      <c r="G26" s="107"/>
      <c r="H26" s="107"/>
      <c r="I26" s="107"/>
      <c r="J26" s="107"/>
      <c r="K26" s="107"/>
      <c r="L26" s="107"/>
    </row>
    <row r="27" spans="1:12" s="106" customFormat="1" ht="14.25">
      <c r="A27" s="121" t="s">
        <v>27</v>
      </c>
      <c r="B27" s="107">
        <f>OPR!G27</f>
        <v>12683</v>
      </c>
      <c r="C27" s="107">
        <f>OPR!H27</f>
        <v>10539</v>
      </c>
      <c r="D27" s="107">
        <f>OPR!I27</f>
        <v>10221</v>
      </c>
      <c r="E27" s="107">
        <f>OPR!J27</f>
        <v>9603</v>
      </c>
      <c r="F27" s="107">
        <f>OPR!K27</f>
        <v>8742</v>
      </c>
      <c r="G27" s="107">
        <f>OPR!L27</f>
        <v>9066</v>
      </c>
      <c r="H27" s="107">
        <f>OPR!M27</f>
        <v>9397</v>
      </c>
      <c r="I27" s="107">
        <f>OPR!N27</f>
        <v>9872</v>
      </c>
      <c r="J27" s="107">
        <f>OPR!O27</f>
        <v>9939</v>
      </c>
      <c r="K27" s="107">
        <f>OPR!P27</f>
        <v>10304</v>
      </c>
      <c r="L27" s="107">
        <f>OPR!Q27</f>
        <v>10683</v>
      </c>
    </row>
    <row r="28" spans="1:12" s="106" customFormat="1" ht="14.25">
      <c r="A28" s="121" t="s">
        <v>29</v>
      </c>
      <c r="B28" s="107">
        <f>OPR!G28</f>
        <v>17663</v>
      </c>
      <c r="C28" s="107">
        <f>OPR!H28</f>
        <v>26420</v>
      </c>
      <c r="D28" s="107">
        <f>OPR!I28</f>
        <v>34866</v>
      </c>
      <c r="E28" s="107">
        <f>OPR!J28</f>
        <v>38604</v>
      </c>
      <c r="F28" s="107">
        <f>OPR!K28</f>
        <v>40875</v>
      </c>
      <c r="G28" s="107">
        <f>OPR!L28</f>
        <v>42186</v>
      </c>
      <c r="H28" s="107">
        <f>OPR!M28</f>
        <v>43392</v>
      </c>
      <c r="I28" s="107">
        <f>OPR!N28</f>
        <v>38663</v>
      </c>
      <c r="J28" s="107">
        <f>OPR!O28</f>
        <v>36939</v>
      </c>
      <c r="K28" s="107">
        <f>OPR!P28</f>
        <v>36339</v>
      </c>
      <c r="L28" s="107">
        <f>OPR!Q28</f>
        <v>34712</v>
      </c>
    </row>
    <row r="29" spans="1:12" s="106" customFormat="1" ht="14.25">
      <c r="A29" s="121" t="s">
        <v>28</v>
      </c>
      <c r="B29" s="107">
        <f>OPR!G29</f>
        <v>453</v>
      </c>
      <c r="C29" s="107">
        <f>OPR!H29</f>
        <v>426</v>
      </c>
      <c r="D29" s="107">
        <f>OPR!I29</f>
        <v>396</v>
      </c>
      <c r="E29" s="107">
        <f>OPR!J29</f>
        <v>350</v>
      </c>
      <c r="F29" s="107">
        <f>OPR!K29</f>
        <v>357</v>
      </c>
      <c r="G29" s="107">
        <f>OPR!L29</f>
        <v>363</v>
      </c>
      <c r="H29" s="107">
        <f>OPR!M29</f>
        <v>369</v>
      </c>
      <c r="I29" s="107">
        <f>OPR!N29</f>
        <v>375</v>
      </c>
      <c r="J29" s="107">
        <f>OPR!O29</f>
        <v>382</v>
      </c>
      <c r="K29" s="107">
        <f>OPR!P29</f>
        <v>388</v>
      </c>
      <c r="L29" s="107">
        <f>OPR!Q29</f>
        <v>395</v>
      </c>
    </row>
    <row r="30" spans="1:12" s="106" customFormat="1" ht="14.25">
      <c r="A30" s="121" t="s">
        <v>30</v>
      </c>
      <c r="B30" s="107">
        <f aca="true" t="shared" si="8" ref="B30:G30">B31+B38</f>
        <v>62929</v>
      </c>
      <c r="C30" s="107">
        <f t="shared" si="8"/>
        <v>60345</v>
      </c>
      <c r="D30" s="107">
        <f t="shared" si="8"/>
        <v>54120</v>
      </c>
      <c r="E30" s="107">
        <f t="shared" si="8"/>
        <v>60830</v>
      </c>
      <c r="F30" s="107">
        <f t="shared" si="8"/>
        <v>69848</v>
      </c>
      <c r="G30" s="107">
        <f t="shared" si="8"/>
        <v>70159</v>
      </c>
      <c r="H30" s="107">
        <f>H31+H38</f>
        <v>70984</v>
      </c>
      <c r="I30" s="107">
        <f>I31+I38</f>
        <v>72761</v>
      </c>
      <c r="J30" s="107">
        <f>J31+J38</f>
        <v>74349</v>
      </c>
      <c r="K30" s="107">
        <f>K31+K38</f>
        <v>76183</v>
      </c>
      <c r="L30" s="107">
        <f>L31+L38</f>
        <v>78052</v>
      </c>
    </row>
    <row r="31" spans="1:12" s="106" customFormat="1" ht="14.25">
      <c r="A31" s="114" t="s">
        <v>23</v>
      </c>
      <c r="B31" s="107">
        <f aca="true" t="shared" si="9" ref="B31:G31">SUM(B32:B37)</f>
        <v>59402</v>
      </c>
      <c r="C31" s="107">
        <f t="shared" si="9"/>
        <v>57397</v>
      </c>
      <c r="D31" s="107">
        <f t="shared" si="9"/>
        <v>50221</v>
      </c>
      <c r="E31" s="107">
        <f t="shared" si="9"/>
        <v>58208</v>
      </c>
      <c r="F31" s="107">
        <f t="shared" si="9"/>
        <v>68283</v>
      </c>
      <c r="G31" s="107">
        <f t="shared" si="9"/>
        <v>68571</v>
      </c>
      <c r="H31" s="107">
        <f>SUM(H32:H37)</f>
        <v>69372</v>
      </c>
      <c r="I31" s="107">
        <f>SUM(I32:I37)</f>
        <v>71125</v>
      </c>
      <c r="J31" s="107">
        <f>SUM(J32:J37)</f>
        <v>72688</v>
      </c>
      <c r="K31" s="107">
        <f>SUM(K32:K37)</f>
        <v>74496</v>
      </c>
      <c r="L31" s="107">
        <f>SUM(L32:L37)</f>
        <v>76339</v>
      </c>
    </row>
    <row r="32" spans="1:12" s="106" customFormat="1" ht="14.25">
      <c r="A32" s="123" t="s">
        <v>36</v>
      </c>
      <c r="B32" s="107">
        <f>OPR!G32</f>
        <v>20978</v>
      </c>
      <c r="C32" s="107">
        <f>OPR!H32</f>
        <v>18778</v>
      </c>
      <c r="D32" s="107">
        <f>OPR!I32</f>
        <v>18069</v>
      </c>
      <c r="E32" s="107">
        <f>OPR!J32</f>
        <v>24384</v>
      </c>
      <c r="F32" s="107">
        <f>OPR!K32</f>
        <v>25817</v>
      </c>
      <c r="G32" s="107">
        <f>OPR!L32</f>
        <v>25869</v>
      </c>
      <c r="H32" s="107">
        <f>OPR!M32</f>
        <v>26427</v>
      </c>
      <c r="I32" s="107">
        <f>OPR!N32</f>
        <v>28875</v>
      </c>
      <c r="J32" s="107">
        <f>OPR!O32</f>
        <v>30584</v>
      </c>
      <c r="K32" s="107">
        <f>OPR!P32</f>
        <v>32494</v>
      </c>
      <c r="L32" s="107">
        <f>OPR!Q32</f>
        <v>34418</v>
      </c>
    </row>
    <row r="33" spans="1:12" s="106" customFormat="1" ht="14.25">
      <c r="A33" s="123" t="s">
        <v>40</v>
      </c>
      <c r="B33" s="107">
        <f>OPR!G33</f>
        <v>35042</v>
      </c>
      <c r="C33" s="107">
        <f>OPR!H33</f>
        <v>35319</v>
      </c>
      <c r="D33" s="107">
        <f>OPR!I33</f>
        <v>29180</v>
      </c>
      <c r="E33" s="107">
        <f>OPR!J33</f>
        <v>30812</v>
      </c>
      <c r="F33" s="107">
        <f>OPR!K33</f>
        <v>31682</v>
      </c>
      <c r="G33" s="107">
        <f>OPR!L33</f>
        <v>31682</v>
      </c>
      <c r="H33" s="107">
        <f>OPR!M33</f>
        <v>31682</v>
      </c>
      <c r="I33" s="107">
        <f>OPR!N33</f>
        <v>30739</v>
      </c>
      <c r="J33" s="107">
        <f>OPR!O33</f>
        <v>30340</v>
      </c>
      <c r="K33" s="107">
        <f>OPR!P33</f>
        <v>29979</v>
      </c>
      <c r="L33" s="107">
        <f>OPR!Q33</f>
        <v>29633</v>
      </c>
    </row>
    <row r="34" spans="1:12" s="106" customFormat="1" ht="14.25">
      <c r="A34" s="123" t="s">
        <v>39</v>
      </c>
      <c r="B34" s="107">
        <f>OPR!G34</f>
        <v>3382</v>
      </c>
      <c r="C34" s="107">
        <f>OPR!H34</f>
        <v>3300</v>
      </c>
      <c r="D34" s="107">
        <f>OPR!I34</f>
        <v>2972</v>
      </c>
      <c r="E34" s="107">
        <f>OPR!J34</f>
        <v>3012</v>
      </c>
      <c r="F34" s="107">
        <f>OPR!K34</f>
        <v>3066</v>
      </c>
      <c r="G34" s="107">
        <f>OPR!L34</f>
        <v>3133</v>
      </c>
      <c r="H34" s="107">
        <f>OPR!M34</f>
        <v>3202</v>
      </c>
      <c r="I34" s="107">
        <f>OPR!N34</f>
        <v>3272</v>
      </c>
      <c r="J34" s="107">
        <f>OPR!O34</f>
        <v>3344</v>
      </c>
      <c r="K34" s="107">
        <f>OPR!P34</f>
        <v>3418</v>
      </c>
      <c r="L34" s="107">
        <f>OPR!Q34</f>
        <v>3493</v>
      </c>
    </row>
    <row r="35" spans="1:12" s="106" customFormat="1" ht="14.25">
      <c r="A35" s="442" t="s">
        <v>596</v>
      </c>
      <c r="B35" s="107"/>
      <c r="C35" s="107"/>
      <c r="D35" s="107"/>
      <c r="E35" s="107"/>
      <c r="F35" s="107">
        <f>OPR!K35</f>
        <v>3203</v>
      </c>
      <c r="G35" s="107">
        <f>OPR!L35</f>
        <v>3273</v>
      </c>
      <c r="H35" s="107">
        <f>OPR!M35</f>
        <v>3345</v>
      </c>
      <c r="I35" s="107">
        <f>OPR!N35</f>
        <v>3419</v>
      </c>
      <c r="J35" s="107">
        <f>OPR!O35</f>
        <v>3494</v>
      </c>
      <c r="K35" s="107">
        <f>OPR!P35</f>
        <v>3571</v>
      </c>
      <c r="L35" s="107">
        <f>OPR!Q35</f>
        <v>3650</v>
      </c>
    </row>
    <row r="36" spans="1:12" s="106" customFormat="1" ht="14.25">
      <c r="A36" s="442" t="s">
        <v>597</v>
      </c>
      <c r="B36" s="107"/>
      <c r="C36" s="107"/>
      <c r="D36" s="107"/>
      <c r="E36" s="107"/>
      <c r="F36" s="107">
        <f>OPR!K36</f>
        <v>4515</v>
      </c>
      <c r="G36" s="107">
        <f>OPR!L36</f>
        <v>4614</v>
      </c>
      <c r="H36" s="107">
        <f>OPR!M36</f>
        <v>4716</v>
      </c>
      <c r="I36" s="107">
        <f>OPR!N36</f>
        <v>4820</v>
      </c>
      <c r="J36" s="107">
        <f>OPR!O36</f>
        <v>4926</v>
      </c>
      <c r="K36" s="107">
        <f>OPR!P36</f>
        <v>5034</v>
      </c>
      <c r="L36" s="107">
        <f>OPR!Q36</f>
        <v>5145</v>
      </c>
    </row>
    <row r="37" spans="1:12" s="106" customFormat="1" ht="14.25">
      <c r="A37" s="123" t="s">
        <v>43</v>
      </c>
      <c r="B37" s="107">
        <f>OPR!G37</f>
        <v>0</v>
      </c>
      <c r="C37" s="107">
        <f>OPR!H37</f>
        <v>0</v>
      </c>
      <c r="D37" s="107">
        <f>OPR!I37</f>
        <v>0</v>
      </c>
      <c r="E37" s="107">
        <f>OPR!J37</f>
        <v>0</v>
      </c>
      <c r="F37" s="107">
        <f>OPR!K37</f>
        <v>0</v>
      </c>
      <c r="G37" s="107">
        <f>OPR!L37</f>
        <v>0</v>
      </c>
      <c r="H37" s="107">
        <f>OPR!M37</f>
        <v>0</v>
      </c>
      <c r="I37" s="107">
        <f>OPR!N37</f>
        <v>0</v>
      </c>
      <c r="J37" s="107">
        <f>OPR!O37</f>
        <v>0</v>
      </c>
      <c r="K37" s="107">
        <f>OPR!P37</f>
        <v>0</v>
      </c>
      <c r="L37" s="107">
        <f>OPR!Q37</f>
        <v>0</v>
      </c>
    </row>
    <row r="38" spans="1:12" s="106" customFormat="1" ht="14.25">
      <c r="A38" s="114" t="s">
        <v>22</v>
      </c>
      <c r="B38" s="107">
        <f aca="true" t="shared" si="10" ref="B38:G38">SUM(B39:B43)</f>
        <v>3527</v>
      </c>
      <c r="C38" s="107">
        <f t="shared" si="10"/>
        <v>2948</v>
      </c>
      <c r="D38" s="107">
        <f t="shared" si="10"/>
        <v>3899</v>
      </c>
      <c r="E38" s="107">
        <f t="shared" si="10"/>
        <v>2622</v>
      </c>
      <c r="F38" s="107">
        <f t="shared" si="10"/>
        <v>1565</v>
      </c>
      <c r="G38" s="107">
        <f t="shared" si="10"/>
        <v>1588</v>
      </c>
      <c r="H38" s="107">
        <f>SUM(H39:H43)</f>
        <v>1612</v>
      </c>
      <c r="I38" s="107">
        <f>SUM(I39:I43)</f>
        <v>1636</v>
      </c>
      <c r="J38" s="107">
        <f>SUM(J39:J43)</f>
        <v>1661</v>
      </c>
      <c r="K38" s="107">
        <f>SUM(K39:K43)</f>
        <v>1687</v>
      </c>
      <c r="L38" s="107">
        <f>SUM(L39:L43)</f>
        <v>1713</v>
      </c>
    </row>
    <row r="39" spans="1:12" s="106" customFormat="1" ht="14.25">
      <c r="A39" s="123" t="s">
        <v>38</v>
      </c>
      <c r="B39" s="107">
        <f>OPR!G39</f>
        <v>878</v>
      </c>
      <c r="C39" s="107">
        <f>OPR!H39</f>
        <v>829</v>
      </c>
      <c r="D39" s="107">
        <f>OPR!I39</f>
        <v>611</v>
      </c>
      <c r="E39" s="107">
        <f>OPR!J39</f>
        <v>180</v>
      </c>
      <c r="F39" s="107">
        <f>OPR!K39</f>
        <v>0</v>
      </c>
      <c r="G39" s="107">
        <f>OPR!L39</f>
        <v>0</v>
      </c>
      <c r="H39" s="107">
        <f>OPR!M39</f>
        <v>0</v>
      </c>
      <c r="I39" s="107">
        <f>OPR!N39</f>
        <v>0</v>
      </c>
      <c r="J39" s="107">
        <f>OPR!O39</f>
        <v>0</v>
      </c>
      <c r="K39" s="107">
        <f>OPR!P39</f>
        <v>0</v>
      </c>
      <c r="L39" s="107">
        <f>OPR!Q39</f>
        <v>0</v>
      </c>
    </row>
    <row r="40" spans="1:12" s="106" customFormat="1" ht="14.25">
      <c r="A40" s="123" t="s">
        <v>33</v>
      </c>
      <c r="B40" s="107">
        <f>OPR!G40</f>
        <v>1286</v>
      </c>
      <c r="C40" s="107">
        <f>OPR!H40</f>
        <v>442</v>
      </c>
      <c r="D40" s="107">
        <f>OPR!I40</f>
        <v>275</v>
      </c>
      <c r="E40" s="107">
        <f>OPR!J40</f>
        <v>300</v>
      </c>
      <c r="F40" s="107">
        <f>OPR!K40</f>
        <v>100</v>
      </c>
      <c r="G40" s="107">
        <f>OPR!L40</f>
        <v>100</v>
      </c>
      <c r="H40" s="107">
        <f>OPR!M40</f>
        <v>100</v>
      </c>
      <c r="I40" s="107">
        <f>OPR!N40</f>
        <v>100</v>
      </c>
      <c r="J40" s="107">
        <f>OPR!O40</f>
        <v>100</v>
      </c>
      <c r="K40" s="107">
        <f>OPR!P40</f>
        <v>100</v>
      </c>
      <c r="L40" s="107">
        <f>OPR!Q40</f>
        <v>100</v>
      </c>
    </row>
    <row r="41" spans="1:12" s="106" customFormat="1" ht="14.25">
      <c r="A41" s="123" t="s">
        <v>35</v>
      </c>
      <c r="B41" s="107">
        <f>OPR!G41</f>
        <v>0</v>
      </c>
      <c r="C41" s="107">
        <f>OPR!H41</f>
        <v>0</v>
      </c>
      <c r="D41" s="107">
        <f>OPR!I41</f>
        <v>0</v>
      </c>
      <c r="E41" s="107">
        <f>OPR!J41</f>
        <v>0</v>
      </c>
      <c r="F41" s="107">
        <f>OPR!K41</f>
        <v>0</v>
      </c>
      <c r="G41" s="107">
        <f>OPR!L41</f>
        <v>0</v>
      </c>
      <c r="H41" s="107">
        <f>OPR!M41</f>
        <v>0</v>
      </c>
      <c r="I41" s="107">
        <f>OPR!N41</f>
        <v>0</v>
      </c>
      <c r="J41" s="107">
        <f>OPR!O41</f>
        <v>0</v>
      </c>
      <c r="K41" s="107">
        <f>OPR!P41</f>
        <v>0</v>
      </c>
      <c r="L41" s="107">
        <f>OPR!Q41</f>
        <v>0</v>
      </c>
    </row>
    <row r="42" spans="1:12" s="106" customFormat="1" ht="14.25">
      <c r="A42" s="123" t="s">
        <v>1</v>
      </c>
      <c r="B42" s="107">
        <f>OPR!G42</f>
        <v>1363</v>
      </c>
      <c r="C42" s="107">
        <f>OPR!H42</f>
        <v>1677</v>
      </c>
      <c r="D42" s="107">
        <f>OPR!I42</f>
        <v>3013</v>
      </c>
      <c r="E42" s="107">
        <f>OPR!J42</f>
        <v>1050</v>
      </c>
      <c r="F42" s="107">
        <f>OPR!K42</f>
        <v>400</v>
      </c>
      <c r="G42" s="107">
        <f>OPR!L42</f>
        <v>400</v>
      </c>
      <c r="H42" s="107">
        <f>OPR!M42</f>
        <v>400</v>
      </c>
      <c r="I42" s="107">
        <f>OPR!N42</f>
        <v>400</v>
      </c>
      <c r="J42" s="107">
        <f>OPR!O42</f>
        <v>400</v>
      </c>
      <c r="K42" s="107">
        <f>OPR!P42</f>
        <v>400</v>
      </c>
      <c r="L42" s="107">
        <f>OPR!Q42</f>
        <v>400</v>
      </c>
    </row>
    <row r="43" spans="1:12" s="106" customFormat="1" ht="14.25">
      <c r="A43" s="616" t="s">
        <v>367</v>
      </c>
      <c r="B43" s="107"/>
      <c r="C43" s="107"/>
      <c r="D43" s="107">
        <f>OPR!I43</f>
        <v>0</v>
      </c>
      <c r="E43" s="107">
        <f>OPR!J43</f>
        <v>1092</v>
      </c>
      <c r="F43" s="107">
        <f>OPR!K43</f>
        <v>1065</v>
      </c>
      <c r="G43" s="107">
        <f>OPR!L43</f>
        <v>1088</v>
      </c>
      <c r="H43" s="107">
        <f>OPR!M43</f>
        <v>1112</v>
      </c>
      <c r="I43" s="107">
        <f>OPR!N43</f>
        <v>1136</v>
      </c>
      <c r="J43" s="107">
        <f>OPR!O43</f>
        <v>1161</v>
      </c>
      <c r="K43" s="107">
        <f>OPR!P43</f>
        <v>1187</v>
      </c>
      <c r="L43" s="107">
        <f>OPR!Q43</f>
        <v>1213</v>
      </c>
    </row>
    <row r="44" spans="1:12" s="106" customFormat="1" ht="14.25">
      <c r="A44" s="123" t="s">
        <v>14</v>
      </c>
      <c r="B44" s="107">
        <f>OPR!G44</f>
        <v>56645</v>
      </c>
      <c r="C44" s="107">
        <f>OPR!H44</f>
        <v>54625</v>
      </c>
      <c r="D44" s="107">
        <f>OPR!I44</f>
        <v>59732</v>
      </c>
      <c r="E44" s="107">
        <f>OPR!J44</f>
        <v>60063</v>
      </c>
      <c r="F44" s="107">
        <f>OPR!K44</f>
        <v>51357</v>
      </c>
      <c r="G44" s="107">
        <f>OPR!L44</f>
        <v>51048</v>
      </c>
      <c r="H44" s="107">
        <f>OPR!M44</f>
        <v>50752</v>
      </c>
      <c r="I44" s="107">
        <f>OPR!N44</f>
        <v>52657</v>
      </c>
      <c r="J44" s="107">
        <f>OPR!O44</f>
        <v>54137</v>
      </c>
      <c r="K44" s="107">
        <f>OPR!P44</f>
        <v>56531</v>
      </c>
      <c r="L44" s="107">
        <f>OPR!Q44</f>
        <v>59343</v>
      </c>
    </row>
    <row r="45" spans="1:12" s="106" customFormat="1" ht="14.25">
      <c r="A45" s="123" t="s">
        <v>15</v>
      </c>
      <c r="B45" s="107">
        <f>OPR!G45</f>
        <v>17231</v>
      </c>
      <c r="C45" s="107">
        <f>OPR!H45</f>
        <v>16242</v>
      </c>
      <c r="D45" s="107">
        <f>OPR!I45</f>
        <v>18373</v>
      </c>
      <c r="E45" s="107">
        <f>OPR!J45</f>
        <v>18054</v>
      </c>
      <c r="F45" s="107">
        <f>OPR!K45</f>
        <v>15377</v>
      </c>
      <c r="G45" s="107">
        <f>OPR!L45</f>
        <v>15251</v>
      </c>
      <c r="H45" s="107">
        <f>OPR!M45</f>
        <v>15129</v>
      </c>
      <c r="I45" s="107">
        <f>OPR!N45</f>
        <v>15703</v>
      </c>
      <c r="J45" s="107">
        <f>OPR!O45</f>
        <v>16143</v>
      </c>
      <c r="K45" s="107">
        <f>OPR!P45</f>
        <v>16868</v>
      </c>
      <c r="L45" s="107">
        <f>OPR!Q45</f>
        <v>17721</v>
      </c>
    </row>
    <row r="46" spans="1:12" s="106" customFormat="1" ht="14.25">
      <c r="A46" s="442" t="s">
        <v>635</v>
      </c>
      <c r="B46" s="107"/>
      <c r="C46" s="107"/>
      <c r="D46" s="107">
        <f>OPR!I46</f>
        <v>0</v>
      </c>
      <c r="E46" s="107">
        <f>OPR!J46</f>
        <v>749</v>
      </c>
      <c r="F46" s="107">
        <f>OPR!K46</f>
        <v>852</v>
      </c>
      <c r="G46" s="107">
        <f>OPR!L46</f>
        <v>880</v>
      </c>
      <c r="H46" s="107">
        <f>OPR!M46</f>
        <v>909</v>
      </c>
      <c r="I46" s="107">
        <f>OPR!N46</f>
        <v>937</v>
      </c>
      <c r="J46" s="107">
        <f>OPR!O46</f>
        <v>964</v>
      </c>
      <c r="K46" s="107">
        <f>OPR!P46</f>
        <v>996</v>
      </c>
      <c r="L46" s="107">
        <f>OPR!Q46</f>
        <v>1031</v>
      </c>
    </row>
    <row r="47" spans="1:12" s="106" customFormat="1" ht="14.25">
      <c r="A47" s="123" t="s">
        <v>7</v>
      </c>
      <c r="B47" s="107">
        <f aca="true" t="shared" si="11" ref="B47:G47">B48+B49</f>
        <v>13111</v>
      </c>
      <c r="C47" s="107">
        <f t="shared" si="11"/>
        <v>8076</v>
      </c>
      <c r="D47" s="107">
        <f t="shared" si="11"/>
        <v>7962</v>
      </c>
      <c r="E47" s="107">
        <f t="shared" si="11"/>
        <v>9051</v>
      </c>
      <c r="F47" s="107">
        <f t="shared" si="11"/>
        <v>9062</v>
      </c>
      <c r="G47" s="107">
        <f t="shared" si="11"/>
        <v>9261</v>
      </c>
      <c r="H47" s="107">
        <f>H48+H49</f>
        <v>9465</v>
      </c>
      <c r="I47" s="107">
        <f>I48+I49</f>
        <v>9673</v>
      </c>
      <c r="J47" s="107">
        <f>J48+J49</f>
        <v>9886</v>
      </c>
      <c r="K47" s="107">
        <f>K48+K49</f>
        <v>10103</v>
      </c>
      <c r="L47" s="107">
        <f>L48+L49</f>
        <v>10325</v>
      </c>
    </row>
    <row r="48" spans="1:12" s="106" customFormat="1" ht="14.25">
      <c r="A48" s="114" t="s">
        <v>23</v>
      </c>
      <c r="B48" s="107">
        <f>OPR!G48</f>
        <v>13111</v>
      </c>
      <c r="C48" s="107">
        <f>OPR!H48</f>
        <v>8076</v>
      </c>
      <c r="D48" s="107">
        <f>OPR!I48</f>
        <v>7649</v>
      </c>
      <c r="E48" s="107">
        <f>OPR!J48</f>
        <v>9051</v>
      </c>
      <c r="F48" s="107">
        <f>OPR!K48</f>
        <v>9062</v>
      </c>
      <c r="G48" s="107">
        <f>OPR!L48</f>
        <v>9261</v>
      </c>
      <c r="H48" s="107">
        <f>OPR!M48</f>
        <v>9465</v>
      </c>
      <c r="I48" s="107">
        <f>OPR!N48</f>
        <v>9673</v>
      </c>
      <c r="J48" s="107">
        <f>OPR!O48</f>
        <v>9886</v>
      </c>
      <c r="K48" s="107">
        <f>OPR!P48</f>
        <v>10103</v>
      </c>
      <c r="L48" s="107">
        <f>OPR!Q48</f>
        <v>10325</v>
      </c>
    </row>
    <row r="49" spans="1:12" s="106" customFormat="1" ht="14.25">
      <c r="A49" s="114" t="s">
        <v>22</v>
      </c>
      <c r="B49" s="107">
        <f>OPR!G49</f>
        <v>0</v>
      </c>
      <c r="C49" s="107"/>
      <c r="D49" s="107">
        <f>OPR!I49</f>
        <v>313</v>
      </c>
      <c r="E49" s="107"/>
      <c r="F49" s="107"/>
      <c r="G49" s="107"/>
      <c r="H49" s="107"/>
      <c r="I49" s="107"/>
      <c r="J49" s="107"/>
      <c r="K49" s="107"/>
      <c r="L49" s="107"/>
    </row>
    <row r="50" spans="1:21" s="106" customFormat="1" ht="14.25">
      <c r="A50" s="123" t="s">
        <v>47</v>
      </c>
      <c r="B50" s="107"/>
      <c r="C50" s="107"/>
      <c r="D50" s="107">
        <f>OPR!I50</f>
        <v>313</v>
      </c>
      <c r="E50" s="107"/>
      <c r="F50" s="107"/>
      <c r="G50" s="107"/>
      <c r="H50" s="107"/>
      <c r="I50" s="107"/>
      <c r="J50" s="107"/>
      <c r="K50" s="107"/>
      <c r="L50" s="107"/>
      <c r="Q50" s="107"/>
      <c r="R50" s="107"/>
      <c r="S50" s="107"/>
      <c r="T50" s="107"/>
      <c r="U50" s="107"/>
    </row>
    <row r="51" spans="1:12" s="106" customFormat="1" ht="14.25">
      <c r="A51" s="123" t="s">
        <v>1</v>
      </c>
      <c r="B51" s="107"/>
      <c r="C51" s="107"/>
      <c r="D51" s="107">
        <f>OPR!I51</f>
        <v>0</v>
      </c>
      <c r="E51" s="107"/>
      <c r="F51" s="107"/>
      <c r="G51" s="107"/>
      <c r="H51" s="107"/>
      <c r="I51" s="107"/>
      <c r="J51" s="107"/>
      <c r="K51" s="107"/>
      <c r="L51" s="107"/>
    </row>
    <row r="52" spans="1:12" s="106" customFormat="1" ht="14.25">
      <c r="A52" s="123" t="s">
        <v>11</v>
      </c>
      <c r="B52" s="107">
        <f>OPR!G52</f>
        <v>-1521</v>
      </c>
      <c r="C52" s="107">
        <f>OPR!H52</f>
        <v>-3311</v>
      </c>
      <c r="D52" s="107">
        <f>OPR!I52</f>
        <v>-3224</v>
      </c>
      <c r="E52" s="107">
        <f>OPR!J52</f>
        <v>-5218</v>
      </c>
      <c r="F52" s="107">
        <f>OPR!K52</f>
        <v>-3283</v>
      </c>
      <c r="G52" s="107">
        <f>OPR!L52</f>
        <v>-4581</v>
      </c>
      <c r="H52" s="107">
        <f>OPR!M52</f>
        <v>-4593</v>
      </c>
      <c r="I52" s="107">
        <f>OPR!N52</f>
        <v>-3431</v>
      </c>
      <c r="J52" s="107">
        <f>OPR!O52</f>
        <v>-5109</v>
      </c>
      <c r="K52" s="107">
        <f>OPR!P52</f>
        <v>-5004</v>
      </c>
      <c r="L52" s="107">
        <f>OPR!Q52</f>
        <v>-4939</v>
      </c>
    </row>
    <row r="53" spans="1:21" s="106" customFormat="1" ht="14.25">
      <c r="A53" s="120" t="s">
        <v>16</v>
      </c>
      <c r="B53" s="120">
        <f aca="true" t="shared" si="12" ref="B53:G53">B21-B23</f>
        <v>78819</v>
      </c>
      <c r="C53" s="120">
        <f t="shared" si="12"/>
        <v>72831</v>
      </c>
      <c r="D53" s="120">
        <f t="shared" si="12"/>
        <v>57875</v>
      </c>
      <c r="E53" s="120">
        <f t="shared" si="12"/>
        <v>51097</v>
      </c>
      <c r="F53" s="120">
        <f t="shared" si="12"/>
        <v>50697</v>
      </c>
      <c r="G53" s="120">
        <f t="shared" si="12"/>
        <v>53282</v>
      </c>
      <c r="H53" s="120">
        <f>H21-H23</f>
        <v>56607</v>
      </c>
      <c r="I53" s="120">
        <f>I21-I23</f>
        <v>59390</v>
      </c>
      <c r="J53" s="120">
        <f>J21-J23</f>
        <v>63252</v>
      </c>
      <c r="K53" s="120">
        <f>K21-K23</f>
        <v>59129</v>
      </c>
      <c r="L53" s="120">
        <f>L21-L23</f>
        <v>62704</v>
      </c>
      <c r="Q53" s="107"/>
      <c r="R53" s="107"/>
      <c r="S53" s="107"/>
      <c r="T53" s="107"/>
      <c r="U53" s="107"/>
    </row>
    <row r="54" spans="1:12" s="106" customFormat="1" ht="14.25">
      <c r="A54" s="121" t="s">
        <v>321</v>
      </c>
      <c r="B54" s="107">
        <f>OPR!G54</f>
        <v>714</v>
      </c>
      <c r="C54" s="107">
        <f>OPR!H54</f>
        <v>5248</v>
      </c>
      <c r="D54" s="107">
        <f>OPR!I54</f>
        <v>18082</v>
      </c>
      <c r="E54" s="107">
        <f>OPR!J54</f>
        <v>32103</v>
      </c>
      <c r="F54" s="107">
        <f>OPR!K54</f>
        <v>10948</v>
      </c>
      <c r="G54" s="107">
        <f>OPR!L54</f>
        <v>10949</v>
      </c>
      <c r="H54" s="107">
        <f>OPR!M54</f>
        <v>10951</v>
      </c>
      <c r="I54" s="107">
        <f>OPR!N54</f>
        <v>27451</v>
      </c>
      <c r="J54" s="107">
        <f>OPR!O54</f>
        <v>37949</v>
      </c>
      <c r="K54" s="107">
        <f>OPR!P54</f>
        <v>45952</v>
      </c>
      <c r="L54" s="107">
        <f>OPR!Q54</f>
        <v>53949</v>
      </c>
    </row>
    <row r="55" spans="1:12" s="106" customFormat="1" ht="14.25">
      <c r="A55" s="121" t="s">
        <v>252</v>
      </c>
      <c r="B55" s="107">
        <f>OPR!G55</f>
        <v>74625</v>
      </c>
      <c r="C55" s="107">
        <f>OPR!H55</f>
        <v>79017</v>
      </c>
      <c r="D55" s="107">
        <f>OPR!I55</f>
        <v>82935</v>
      </c>
      <c r="E55" s="107">
        <f>OPR!J55</f>
        <v>86501</v>
      </c>
      <c r="F55" s="107">
        <f>OPR!K55</f>
        <v>59357</v>
      </c>
      <c r="G55" s="107">
        <f>OPR!L55</f>
        <v>61912</v>
      </c>
      <c r="H55" s="107">
        <f>OPR!M55</f>
        <v>64606</v>
      </c>
      <c r="I55" s="107">
        <f>OPR!N55</f>
        <v>84187</v>
      </c>
      <c r="J55" s="107">
        <f>OPR!O55</f>
        <v>97683</v>
      </c>
      <c r="K55" s="107">
        <f>OPR!P55</f>
        <v>101446</v>
      </c>
      <c r="L55" s="107">
        <f>OPR!Q55</f>
        <v>112041</v>
      </c>
    </row>
    <row r="56" spans="1:12" s="106" customFormat="1" ht="14.25">
      <c r="A56" s="121" t="s">
        <v>322</v>
      </c>
      <c r="B56" s="107">
        <f>OPR!G56</f>
        <v>714</v>
      </c>
      <c r="C56" s="107">
        <f>OPR!H56</f>
        <v>5248</v>
      </c>
      <c r="D56" s="107">
        <f>OPR!I56</f>
        <v>18082</v>
      </c>
      <c r="E56" s="107">
        <f>OPR!J56</f>
        <v>32103</v>
      </c>
      <c r="F56" s="107">
        <f>OPR!K56</f>
        <v>10948</v>
      </c>
      <c r="G56" s="107">
        <f>OPR!L56</f>
        <v>10949</v>
      </c>
      <c r="H56" s="107">
        <f>OPR!M56</f>
        <v>10951</v>
      </c>
      <c r="I56" s="107">
        <f>OPR!N56</f>
        <v>27451</v>
      </c>
      <c r="J56" s="107">
        <f>OPR!O56</f>
        <v>37949</v>
      </c>
      <c r="K56" s="107">
        <f>OPR!P56</f>
        <v>45952</v>
      </c>
      <c r="L56" s="107">
        <f>OPR!Q56</f>
        <v>53949</v>
      </c>
    </row>
    <row r="57" spans="1:12" s="106" customFormat="1" ht="14.25">
      <c r="A57" s="120" t="s">
        <v>17</v>
      </c>
      <c r="B57" s="120">
        <f aca="true" t="shared" si="13" ref="B57:G57">B53+B54-B55</f>
        <v>4908</v>
      </c>
      <c r="C57" s="120">
        <f t="shared" si="13"/>
        <v>-938</v>
      </c>
      <c r="D57" s="120">
        <f t="shared" si="13"/>
        <v>-6978</v>
      </c>
      <c r="E57" s="120">
        <f t="shared" si="13"/>
        <v>-3301</v>
      </c>
      <c r="F57" s="120">
        <f t="shared" si="13"/>
        <v>2288</v>
      </c>
      <c r="G57" s="120">
        <f t="shared" si="13"/>
        <v>2319</v>
      </c>
      <c r="H57" s="120">
        <f>H53+H54-H55</f>
        <v>2952</v>
      </c>
      <c r="I57" s="120">
        <f>I53+I54-I55</f>
        <v>2654</v>
      </c>
      <c r="J57" s="120">
        <f>J53+J54-J55</f>
        <v>3518</v>
      </c>
      <c r="K57" s="120">
        <f>K53+K54-K55</f>
        <v>3635</v>
      </c>
      <c r="L57" s="120">
        <f>L53+L54-L55</f>
        <v>4612</v>
      </c>
    </row>
    <row r="58" spans="1:12" s="106" customFormat="1" ht="14.25">
      <c r="A58" s="107" t="s">
        <v>50</v>
      </c>
      <c r="B58" s="107">
        <f>OPR!G58</f>
        <v>16951</v>
      </c>
      <c r="C58" s="107">
        <f>OPR!H58</f>
        <v>1785</v>
      </c>
      <c r="D58" s="107">
        <f>OPR!I58</f>
        <v>916</v>
      </c>
      <c r="E58" s="107">
        <f>OPR!J58</f>
        <v>5655</v>
      </c>
      <c r="F58" s="107">
        <f>OPR!K58</f>
        <v>9147</v>
      </c>
      <c r="G58" s="107">
        <f>OPR!L58</f>
        <v>5700</v>
      </c>
      <c r="H58" s="107">
        <f>OPR!M58</f>
        <v>6210</v>
      </c>
      <c r="I58" s="107">
        <f>OPR!N58</f>
        <v>6269</v>
      </c>
      <c r="J58" s="107">
        <f>OPR!O58</f>
        <v>3935</v>
      </c>
      <c r="K58" s="107">
        <f>OPR!P58</f>
        <v>2874</v>
      </c>
      <c r="L58" s="107">
        <f>OPR!Q58</f>
        <v>2048</v>
      </c>
    </row>
    <row r="59" spans="1:12" s="106" customFormat="1" ht="14.25">
      <c r="A59" s="107" t="s">
        <v>330</v>
      </c>
      <c r="B59" s="107">
        <f>OPR!G59</f>
        <v>-9335</v>
      </c>
      <c r="C59" s="107">
        <f>OPR!H59</f>
        <v>-1774</v>
      </c>
      <c r="D59" s="107">
        <f>OPR!I59</f>
        <v>-77</v>
      </c>
      <c r="E59" s="107">
        <f>OPR!J59</f>
        <v>-1755</v>
      </c>
      <c r="F59" s="107">
        <f>OPR!K59</f>
        <v>-2118</v>
      </c>
      <c r="G59" s="107">
        <f>OPR!L59</f>
        <v>-1476</v>
      </c>
      <c r="H59" s="107">
        <f>OPR!M59</f>
        <v>-775</v>
      </c>
      <c r="I59" s="107">
        <f>OPR!N59</f>
        <v>-946</v>
      </c>
      <c r="J59" s="107">
        <f>OPR!O59</f>
        <v>-455</v>
      </c>
      <c r="K59" s="107">
        <f>OPR!P59</f>
        <v>-385</v>
      </c>
      <c r="L59" s="107">
        <f>OPR!Q59</f>
        <v>-175</v>
      </c>
    </row>
    <row r="60" spans="1:12" s="106" customFormat="1" ht="14.25">
      <c r="A60" s="107" t="s">
        <v>253</v>
      </c>
      <c r="B60" s="107"/>
      <c r="C60" s="107">
        <f>OPR!H60</f>
        <v>7250</v>
      </c>
      <c r="D60" s="107">
        <f>OPR!I60</f>
        <v>0</v>
      </c>
      <c r="E60" s="107">
        <f>OPR!J60</f>
        <v>0</v>
      </c>
      <c r="F60" s="107">
        <f>OPR!K60</f>
        <v>0</v>
      </c>
      <c r="G60" s="107">
        <f>OPR!L60</f>
        <v>0</v>
      </c>
      <c r="H60" s="107">
        <f>OPR!M60</f>
        <v>0</v>
      </c>
      <c r="I60" s="107">
        <f>OPR!N60</f>
        <v>0</v>
      </c>
      <c r="J60" s="107">
        <f>OPR!O60</f>
        <v>0</v>
      </c>
      <c r="K60" s="107">
        <f>OPR!P60</f>
        <v>0</v>
      </c>
      <c r="L60" s="107">
        <f>OPR!Q60</f>
        <v>0</v>
      </c>
    </row>
    <row r="61" spans="1:12" s="106" customFormat="1" ht="14.25">
      <c r="A61" s="107" t="s">
        <v>31</v>
      </c>
      <c r="B61" s="107">
        <f>OPR!G61</f>
        <v>131</v>
      </c>
      <c r="C61" s="107">
        <f>OPR!H61</f>
        <v>17</v>
      </c>
      <c r="D61" s="107">
        <f>OPR!I61</f>
        <v>383</v>
      </c>
      <c r="E61" s="107">
        <f>OPR!J61</f>
        <v>457</v>
      </c>
      <c r="F61" s="107">
        <f>OPR!K61</f>
        <v>401</v>
      </c>
      <c r="G61" s="107">
        <f>OPR!L61</f>
        <v>358</v>
      </c>
      <c r="H61" s="107">
        <f>OPR!M61</f>
        <v>314</v>
      </c>
      <c r="I61" s="107">
        <f>OPR!N61</f>
        <v>271</v>
      </c>
      <c r="J61" s="107">
        <f>OPR!O61</f>
        <v>228</v>
      </c>
      <c r="K61" s="107">
        <f>OPR!P61</f>
        <v>184</v>
      </c>
      <c r="L61" s="107">
        <f>OPR!Q61</f>
        <v>141</v>
      </c>
    </row>
    <row r="62" spans="1:12" s="106" customFormat="1" ht="14.25">
      <c r="A62" s="107" t="s">
        <v>32</v>
      </c>
      <c r="B62" s="107">
        <f>OPR!G62</f>
        <v>11598</v>
      </c>
      <c r="C62" s="107">
        <f>OPR!H62</f>
        <v>12334</v>
      </c>
      <c r="D62" s="107">
        <f>OPR!I62</f>
        <v>5145</v>
      </c>
      <c r="E62" s="107">
        <f>OPR!J62</f>
        <v>3550</v>
      </c>
      <c r="F62" s="107">
        <f>OPR!K62</f>
        <v>3000</v>
      </c>
      <c r="G62" s="107">
        <f>OPR!L62</f>
        <v>2700</v>
      </c>
      <c r="H62" s="107">
        <f>OPR!M62</f>
        <v>2400</v>
      </c>
      <c r="I62" s="107">
        <f>OPR!N62</f>
        <v>2000</v>
      </c>
      <c r="J62" s="107">
        <f>OPR!O62</f>
        <v>1800</v>
      </c>
      <c r="K62" s="107">
        <f>OPR!P62</f>
        <v>1500</v>
      </c>
      <c r="L62" s="107">
        <f>OPR!Q62</f>
        <v>1300</v>
      </c>
    </row>
    <row r="63" spans="1:12" s="106" customFormat="1" ht="14.25">
      <c r="A63" s="107" t="s">
        <v>45</v>
      </c>
      <c r="B63" s="107">
        <f>OPR!G63</f>
        <v>0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s="106" customFormat="1" ht="14.25">
      <c r="A64" s="104" t="s">
        <v>44</v>
      </c>
      <c r="B64" s="104">
        <f aca="true" t="shared" si="14" ref="B64:G64">SUM(B57:B61)-B62+B63</f>
        <v>1057</v>
      </c>
      <c r="C64" s="104">
        <f t="shared" si="14"/>
        <v>-5994</v>
      </c>
      <c r="D64" s="104">
        <f t="shared" si="14"/>
        <v>-10901</v>
      </c>
      <c r="E64" s="104">
        <f t="shared" si="14"/>
        <v>-2494</v>
      </c>
      <c r="F64" s="104">
        <f t="shared" si="14"/>
        <v>6718</v>
      </c>
      <c r="G64" s="104">
        <f t="shared" si="14"/>
        <v>4201</v>
      </c>
      <c r="H64" s="104">
        <f>SUM(H57:H61)-H62+H63</f>
        <v>6301</v>
      </c>
      <c r="I64" s="104">
        <f>SUM(I57:I61)-I62+I63</f>
        <v>6248</v>
      </c>
      <c r="J64" s="104">
        <f>SUM(J57:J61)-J62+J63</f>
        <v>5426</v>
      </c>
      <c r="K64" s="104">
        <f>SUM(K57:K61)-K62+K63</f>
        <v>4808</v>
      </c>
      <c r="L64" s="104">
        <f>SUM(L57:L61)-L62+L63</f>
        <v>5326</v>
      </c>
    </row>
    <row r="65" spans="1:12" s="106" customFormat="1" ht="14.25">
      <c r="A65" s="107" t="s">
        <v>46</v>
      </c>
      <c r="B65" s="107">
        <f>OPR!G65</f>
        <v>-570</v>
      </c>
      <c r="C65" s="107">
        <f>OPR!H65</f>
        <v>6509</v>
      </c>
      <c r="D65" s="107">
        <f>OPR!I65</f>
        <v>4366</v>
      </c>
      <c r="E65" s="107">
        <f>OPR!J65</f>
        <v>0</v>
      </c>
      <c r="F65" s="107">
        <f>OPR!K65</f>
        <v>0</v>
      </c>
      <c r="G65" s="107">
        <f>OPR!L65</f>
        <v>0</v>
      </c>
      <c r="H65" s="107">
        <f>OPR!M65</f>
        <v>0</v>
      </c>
      <c r="I65" s="107">
        <f>OPR!N65</f>
        <v>0</v>
      </c>
      <c r="J65" s="107">
        <f>OPR!O65</f>
        <v>0</v>
      </c>
      <c r="K65" s="107">
        <f>OPR!P65</f>
        <v>0</v>
      </c>
      <c r="L65" s="107">
        <f>OPR!Q65</f>
        <v>0</v>
      </c>
    </row>
    <row r="66" spans="1:12" s="106" customFormat="1" ht="28.5">
      <c r="A66" s="130" t="s">
        <v>331</v>
      </c>
      <c r="B66" s="107">
        <f>OPR!G66</f>
        <v>0</v>
      </c>
      <c r="C66" s="107">
        <f>OPR!H66</f>
        <v>143</v>
      </c>
      <c r="D66" s="107">
        <f>OPR!I66</f>
        <v>0</v>
      </c>
      <c r="E66" s="107">
        <f>OPR!J66</f>
        <v>3200</v>
      </c>
      <c r="F66" s="107">
        <f>OPR!K66</f>
        <v>0</v>
      </c>
      <c r="G66" s="107">
        <f>OPR!L66</f>
        <v>0</v>
      </c>
      <c r="H66" s="107">
        <f>OPR!M66</f>
        <v>0</v>
      </c>
      <c r="I66" s="107">
        <f>OPR!N66</f>
        <v>0</v>
      </c>
      <c r="J66" s="107">
        <f>OPR!O66</f>
        <v>0</v>
      </c>
      <c r="K66" s="107">
        <f>OPR!P66</f>
        <v>0</v>
      </c>
      <c r="L66" s="107">
        <f>OPR!Q66</f>
        <v>0</v>
      </c>
    </row>
    <row r="67" spans="1:12" s="106" customFormat="1" ht="28.5">
      <c r="A67" s="130" t="s">
        <v>332</v>
      </c>
      <c r="B67" s="107">
        <f>OPR!G67</f>
        <v>0</v>
      </c>
      <c r="C67" s="107">
        <f>OPR!H67</f>
        <v>-4</v>
      </c>
      <c r="D67" s="107">
        <f>OPR!I67</f>
        <v>0</v>
      </c>
      <c r="E67" s="107">
        <f>OPR!J67</f>
        <v>-17</v>
      </c>
      <c r="F67" s="107">
        <f>OPR!K67</f>
        <v>0</v>
      </c>
      <c r="G67" s="107">
        <f>OPR!L67</f>
        <v>0</v>
      </c>
      <c r="H67" s="107">
        <f>OPR!M67</f>
        <v>0</v>
      </c>
      <c r="I67" s="107">
        <f>OPR!N67</f>
        <v>0</v>
      </c>
      <c r="J67" s="107">
        <f>OPR!O67</f>
        <v>0</v>
      </c>
      <c r="K67" s="107">
        <f>OPR!P67</f>
        <v>0</v>
      </c>
      <c r="L67" s="107">
        <f>OPR!Q67</f>
        <v>0</v>
      </c>
    </row>
    <row r="68" spans="1:13" ht="14.25">
      <c r="A68" s="120" t="s">
        <v>8</v>
      </c>
      <c r="B68" s="120">
        <f>B64-B65</f>
        <v>1627</v>
      </c>
      <c r="C68" s="120">
        <f>C64-C65+C66+C67</f>
        <v>-12364</v>
      </c>
      <c r="D68" s="120">
        <f aca="true" t="shared" si="15" ref="D68:L68">D64-D65+D66+D67</f>
        <v>-15267</v>
      </c>
      <c r="E68" s="120">
        <f t="shared" si="15"/>
        <v>689</v>
      </c>
      <c r="F68" s="120">
        <f t="shared" si="15"/>
        <v>6718</v>
      </c>
      <c r="G68" s="120">
        <f t="shared" si="15"/>
        <v>4201</v>
      </c>
      <c r="H68" s="120">
        <f t="shared" si="15"/>
        <v>6301</v>
      </c>
      <c r="I68" s="120">
        <f t="shared" si="15"/>
        <v>6248</v>
      </c>
      <c r="J68" s="120">
        <f t="shared" si="15"/>
        <v>5426</v>
      </c>
      <c r="K68" s="120">
        <f t="shared" si="15"/>
        <v>4808</v>
      </c>
      <c r="L68" s="120">
        <f t="shared" si="15"/>
        <v>5326</v>
      </c>
      <c r="M68" s="106"/>
    </row>
    <row r="69" spans="2:12" ht="14.25" collapsed="1">
      <c r="B69" s="317">
        <f aca="true" t="shared" si="16" ref="B69:L69">B138+B213-B68</f>
        <v>0</v>
      </c>
      <c r="C69" s="317">
        <f t="shared" si="16"/>
        <v>0</v>
      </c>
      <c r="D69" s="317">
        <f t="shared" si="16"/>
        <v>0</v>
      </c>
      <c r="E69" s="318">
        <f t="shared" si="16"/>
        <v>0</v>
      </c>
      <c r="F69" s="317">
        <f t="shared" si="16"/>
        <v>0</v>
      </c>
      <c r="G69" s="317">
        <f t="shared" si="16"/>
        <v>0</v>
      </c>
      <c r="H69" s="317">
        <f t="shared" si="16"/>
        <v>0</v>
      </c>
      <c r="I69" s="317">
        <f t="shared" si="16"/>
        <v>0</v>
      </c>
      <c r="J69" s="317">
        <f t="shared" si="16"/>
        <v>0</v>
      </c>
      <c r="K69" s="317">
        <f t="shared" si="16"/>
        <v>0</v>
      </c>
      <c r="L69" s="317">
        <f t="shared" si="16"/>
        <v>0</v>
      </c>
    </row>
    <row r="70" spans="1:12" s="106" customFormat="1" ht="14.25">
      <c r="A70" s="104" t="s">
        <v>99</v>
      </c>
      <c r="B70" s="128"/>
      <c r="C70" s="128"/>
      <c r="D70" s="128"/>
      <c r="E70" s="128"/>
      <c r="G70" s="4"/>
      <c r="H70" s="4"/>
      <c r="I70" s="4"/>
      <c r="J70" s="4"/>
      <c r="K70" s="4"/>
      <c r="L70" s="4"/>
    </row>
    <row r="71" spans="1:12" s="106" customFormat="1" ht="14.25">
      <c r="A71" s="104" t="s">
        <v>42</v>
      </c>
      <c r="C71" s="105"/>
      <c r="F71" s="105"/>
      <c r="G71" s="105"/>
      <c r="H71" s="105"/>
      <c r="I71" s="105"/>
      <c r="J71" s="105"/>
      <c r="K71" s="105" t="s">
        <v>343</v>
      </c>
      <c r="L71" s="105"/>
    </row>
    <row r="72" spans="1:3" s="106" customFormat="1" ht="2.25" customHeight="1">
      <c r="A72" s="105" t="s">
        <v>114</v>
      </c>
      <c r="C72" s="105"/>
    </row>
    <row r="73" s="106" customFormat="1" ht="14.25">
      <c r="A73" s="107"/>
    </row>
    <row r="74" spans="1:12" s="106" customFormat="1" ht="14.25">
      <c r="A74" s="108"/>
      <c r="B74" s="108"/>
      <c r="C74" s="108"/>
      <c r="D74" s="109" t="s">
        <v>254</v>
      </c>
      <c r="E74" s="127"/>
      <c r="F74" s="127"/>
      <c r="G74" s="127"/>
      <c r="H74" s="127"/>
      <c r="I74" s="127"/>
      <c r="J74" s="127"/>
      <c r="K74" s="127"/>
      <c r="L74" s="127"/>
    </row>
    <row r="75" spans="1:12" s="106" customFormat="1" ht="14.25">
      <c r="A75" s="110" t="s">
        <v>37</v>
      </c>
      <c r="B75" s="108" t="s">
        <v>3</v>
      </c>
      <c r="C75" s="108" t="s">
        <v>3</v>
      </c>
      <c r="D75" s="108" t="s">
        <v>10</v>
      </c>
      <c r="E75" s="108" t="s">
        <v>111</v>
      </c>
      <c r="F75" s="108" t="s">
        <v>2</v>
      </c>
      <c r="G75" s="108" t="s">
        <v>2</v>
      </c>
      <c r="H75" s="108" t="s">
        <v>2</v>
      </c>
      <c r="I75" s="108" t="s">
        <v>2</v>
      </c>
      <c r="J75" s="108" t="s">
        <v>2</v>
      </c>
      <c r="K75" s="108" t="s">
        <v>2</v>
      </c>
      <c r="L75" s="108" t="s">
        <v>2</v>
      </c>
    </row>
    <row r="76" spans="1:12" s="106" customFormat="1" ht="14.25">
      <c r="A76" s="111"/>
      <c r="B76" s="112" t="s">
        <v>52</v>
      </c>
      <c r="C76" s="112" t="s">
        <v>53</v>
      </c>
      <c r="D76" s="112" t="s">
        <v>54</v>
      </c>
      <c r="E76" s="112" t="s">
        <v>96</v>
      </c>
      <c r="F76" s="112" t="s">
        <v>97</v>
      </c>
      <c r="G76" s="112" t="s">
        <v>112</v>
      </c>
      <c r="H76" s="112" t="s">
        <v>112</v>
      </c>
      <c r="I76" s="112" t="s">
        <v>112</v>
      </c>
      <c r="J76" s="112" t="s">
        <v>112</v>
      </c>
      <c r="K76" s="112" t="s">
        <v>112</v>
      </c>
      <c r="L76" s="112" t="s">
        <v>112</v>
      </c>
    </row>
    <row r="77" spans="1:12" s="106" customFormat="1" ht="14.25">
      <c r="A77" s="104" t="s">
        <v>5</v>
      </c>
      <c r="B77" s="107">
        <f aca="true" t="shared" si="17" ref="B77:G77">B78+B81</f>
        <v>63811</v>
      </c>
      <c r="C77" s="107">
        <f t="shared" si="17"/>
        <v>63285</v>
      </c>
      <c r="D77" s="107">
        <v>59452</v>
      </c>
      <c r="E77" s="13">
        <v>61411</v>
      </c>
      <c r="F77" s="107">
        <f t="shared" si="17"/>
        <v>61987</v>
      </c>
      <c r="G77" s="107">
        <f t="shared" si="17"/>
        <v>63257</v>
      </c>
      <c r="H77" s="107">
        <f>H78+H81</f>
        <v>64545</v>
      </c>
      <c r="I77" s="107">
        <f>I78+I81</f>
        <v>68178</v>
      </c>
      <c r="J77" s="107">
        <f>J78+J81</f>
        <v>71433</v>
      </c>
      <c r="K77" s="107">
        <f>K78+K81</f>
        <v>75130</v>
      </c>
      <c r="L77" s="107">
        <f>L78+L81</f>
        <v>78934</v>
      </c>
    </row>
    <row r="78" spans="1:12" s="106" customFormat="1" ht="14.25">
      <c r="A78" s="107" t="s">
        <v>20</v>
      </c>
      <c r="B78" s="107">
        <f aca="true" t="shared" si="18" ref="B78:L78">B79</f>
        <v>63811</v>
      </c>
      <c r="C78" s="107">
        <f t="shared" si="18"/>
        <v>61803</v>
      </c>
      <c r="D78" s="107">
        <v>57761</v>
      </c>
      <c r="E78" s="13">
        <v>59908</v>
      </c>
      <c r="F78" s="107">
        <f t="shared" si="18"/>
        <v>61170</v>
      </c>
      <c r="G78" s="107">
        <f t="shared" si="18"/>
        <v>62428</v>
      </c>
      <c r="H78" s="107">
        <f t="shared" si="18"/>
        <v>63703</v>
      </c>
      <c r="I78" s="107">
        <f t="shared" si="18"/>
        <v>67322</v>
      </c>
      <c r="J78" s="107">
        <f t="shared" si="18"/>
        <v>70563</v>
      </c>
      <c r="K78" s="107">
        <f t="shared" si="18"/>
        <v>74247</v>
      </c>
      <c r="L78" s="107">
        <f t="shared" si="18"/>
        <v>78037</v>
      </c>
    </row>
    <row r="79" spans="1:12" s="106" customFormat="1" ht="14.25">
      <c r="A79" s="113" t="s">
        <v>0</v>
      </c>
      <c r="B79" s="107">
        <f>INT(prihodi!H53)</f>
        <v>63811</v>
      </c>
      <c r="C79" s="107">
        <v>61803</v>
      </c>
      <c r="D79" s="107">
        <v>57761</v>
      </c>
      <c r="E79" s="13">
        <v>59908</v>
      </c>
      <c r="F79" s="107">
        <f>INT(prihodi!M53)-F82</f>
        <v>61170</v>
      </c>
      <c r="G79" s="107">
        <f>INT(prihodi!N53)-G82</f>
        <v>62428</v>
      </c>
      <c r="H79" s="107">
        <f>INT(prihodi!O53)-H82</f>
        <v>63703</v>
      </c>
      <c r="I79" s="107">
        <f>INT(prihodi!P53)-I82</f>
        <v>67322</v>
      </c>
      <c r="J79" s="107">
        <f>INT(prihodi!Q53)-J82</f>
        <v>70563</v>
      </c>
      <c r="K79" s="107">
        <f>INT(prihodi!R53)-K82</f>
        <v>74247</v>
      </c>
      <c r="L79" s="107">
        <f>INT(prihodi!S53)-L82</f>
        <v>78037</v>
      </c>
    </row>
    <row r="80" spans="1:12" s="106" customFormat="1" ht="14.25">
      <c r="A80" s="114" t="s">
        <v>21</v>
      </c>
      <c r="B80" s="107">
        <f>INT(prihodi!H51)</f>
        <v>15913</v>
      </c>
      <c r="C80" s="107">
        <v>15678</v>
      </c>
      <c r="D80" s="107">
        <v>14268</v>
      </c>
      <c r="E80" s="13">
        <v>15655</v>
      </c>
      <c r="F80" s="107">
        <f>prihodi!L51</f>
        <v>15655</v>
      </c>
      <c r="G80" s="107">
        <f>prihodi!M51</f>
        <v>15655</v>
      </c>
      <c r="H80" s="107">
        <f>prihodi!N51</f>
        <v>15655</v>
      </c>
      <c r="I80" s="107">
        <f>prihodi!O51</f>
        <v>15655</v>
      </c>
      <c r="J80" s="107">
        <f>prihodi!P51</f>
        <v>17195</v>
      </c>
      <c r="K80" s="107">
        <f>prihodi!Q51</f>
        <v>17195</v>
      </c>
      <c r="L80" s="107">
        <f>prihodi!R51</f>
        <v>17195</v>
      </c>
    </row>
    <row r="81" spans="1:12" s="106" customFormat="1" ht="14.25">
      <c r="A81" s="107" t="s">
        <v>19</v>
      </c>
      <c r="B81" s="107">
        <f aca="true" t="shared" si="19" ref="B81:L81">SUM(B82:B82)</f>
        <v>0</v>
      </c>
      <c r="C81" s="107">
        <f t="shared" si="19"/>
        <v>1482</v>
      </c>
      <c r="D81" s="107">
        <v>1691</v>
      </c>
      <c r="E81" s="13">
        <v>1503</v>
      </c>
      <c r="F81" s="107">
        <f t="shared" si="19"/>
        <v>817</v>
      </c>
      <c r="G81" s="107">
        <f t="shared" si="19"/>
        <v>829</v>
      </c>
      <c r="H81" s="107">
        <f t="shared" si="19"/>
        <v>842</v>
      </c>
      <c r="I81" s="107">
        <f t="shared" si="19"/>
        <v>856</v>
      </c>
      <c r="J81" s="107">
        <f t="shared" si="19"/>
        <v>870</v>
      </c>
      <c r="K81" s="107">
        <f t="shared" si="19"/>
        <v>883</v>
      </c>
      <c r="L81" s="107">
        <f t="shared" si="19"/>
        <v>897</v>
      </c>
    </row>
    <row r="82" spans="1:12" s="106" customFormat="1" ht="14.25">
      <c r="A82" s="123" t="s">
        <v>34</v>
      </c>
      <c r="B82" s="107"/>
      <c r="C82" s="107">
        <v>1482</v>
      </c>
      <c r="D82" s="107">
        <v>1691</v>
      </c>
      <c r="E82" s="13">
        <v>1503</v>
      </c>
      <c r="F82" s="107">
        <f aca="true" t="shared" si="20" ref="F82:L82">INT(0.82*F12)</f>
        <v>817</v>
      </c>
      <c r="G82" s="107">
        <f t="shared" si="20"/>
        <v>829</v>
      </c>
      <c r="H82" s="107">
        <f t="shared" si="20"/>
        <v>842</v>
      </c>
      <c r="I82" s="107">
        <f t="shared" si="20"/>
        <v>856</v>
      </c>
      <c r="J82" s="107">
        <f t="shared" si="20"/>
        <v>870</v>
      </c>
      <c r="K82" s="107">
        <f t="shared" si="20"/>
        <v>883</v>
      </c>
      <c r="L82" s="107">
        <f t="shared" si="20"/>
        <v>897</v>
      </c>
    </row>
    <row r="83" spans="1:12" s="106" customFormat="1" ht="14.25">
      <c r="A83" s="115" t="s">
        <v>25</v>
      </c>
      <c r="B83" s="107">
        <f aca="true" t="shared" si="21" ref="B83:G83">B84+B85</f>
        <v>2245</v>
      </c>
      <c r="C83" s="107">
        <f t="shared" si="21"/>
        <v>3082</v>
      </c>
      <c r="D83" s="107">
        <v>3220</v>
      </c>
      <c r="E83" s="13">
        <v>2054</v>
      </c>
      <c r="F83" s="107">
        <f t="shared" si="21"/>
        <v>2200</v>
      </c>
      <c r="G83" s="107">
        <f t="shared" si="21"/>
        <v>2200</v>
      </c>
      <c r="H83" s="107">
        <f>H84+H85</f>
        <v>2200</v>
      </c>
      <c r="I83" s="107">
        <f>I84+I85</f>
        <v>2200</v>
      </c>
      <c r="J83" s="107">
        <f>J84+J85</f>
        <v>2200</v>
      </c>
      <c r="K83" s="107">
        <f>K84+K85</f>
        <v>2200</v>
      </c>
      <c r="L83" s="107">
        <f>L84+L85</f>
        <v>2200</v>
      </c>
    </row>
    <row r="84" spans="1:12" s="106" customFormat="1" ht="14.25">
      <c r="A84" s="114" t="s">
        <v>18</v>
      </c>
      <c r="B84" s="107">
        <f>2869-714</f>
        <v>2155</v>
      </c>
      <c r="C84" s="107">
        <v>2882</v>
      </c>
      <c r="D84" s="107">
        <v>2074</v>
      </c>
      <c r="E84" s="13">
        <v>2054</v>
      </c>
      <c r="F84" s="107">
        <v>2200</v>
      </c>
      <c r="G84" s="107">
        <v>2200</v>
      </c>
      <c r="H84" s="107">
        <v>2200</v>
      </c>
      <c r="I84" s="107">
        <v>2200</v>
      </c>
      <c r="J84" s="107">
        <v>2200</v>
      </c>
      <c r="K84" s="107">
        <v>2200</v>
      </c>
      <c r="L84" s="107">
        <v>2200</v>
      </c>
    </row>
    <row r="85" spans="1:12" s="106" customFormat="1" ht="14.25">
      <c r="A85" s="114" t="s">
        <v>22</v>
      </c>
      <c r="B85" s="107">
        <f aca="true" t="shared" si="22" ref="B85:L85">SUM(B86:B89)</f>
        <v>90</v>
      </c>
      <c r="C85" s="107">
        <f t="shared" si="22"/>
        <v>200</v>
      </c>
      <c r="D85" s="107">
        <v>1146</v>
      </c>
      <c r="E85" s="13">
        <v>0</v>
      </c>
      <c r="F85" s="107">
        <f t="shared" si="22"/>
        <v>0</v>
      </c>
      <c r="G85" s="107">
        <f t="shared" si="22"/>
        <v>0</v>
      </c>
      <c r="H85" s="107">
        <f t="shared" si="22"/>
        <v>0</v>
      </c>
      <c r="I85" s="107">
        <f t="shared" si="22"/>
        <v>0</v>
      </c>
      <c r="J85" s="107">
        <f t="shared" si="22"/>
        <v>0</v>
      </c>
      <c r="K85" s="107">
        <f t="shared" si="22"/>
        <v>0</v>
      </c>
      <c r="L85" s="107">
        <f t="shared" si="22"/>
        <v>0</v>
      </c>
    </row>
    <row r="86" spans="1:21" s="106" customFormat="1" ht="14.25">
      <c r="A86" s="123" t="s">
        <v>38</v>
      </c>
      <c r="B86" s="107"/>
      <c r="C86" s="107"/>
      <c r="D86" s="107">
        <v>0</v>
      </c>
      <c r="E86" s="13">
        <v>0</v>
      </c>
      <c r="F86" s="107"/>
      <c r="G86" s="107"/>
      <c r="H86" s="107"/>
      <c r="I86" s="107"/>
      <c r="J86" s="107"/>
      <c r="K86" s="107"/>
      <c r="L86" s="107"/>
      <c r="O86" s="116"/>
      <c r="P86" s="116"/>
      <c r="Q86" s="116"/>
      <c r="R86" s="116"/>
      <c r="S86" s="116"/>
      <c r="T86" s="116"/>
      <c r="U86" s="116"/>
    </row>
    <row r="87" spans="1:12" s="106" customFormat="1" ht="14.25">
      <c r="A87" s="123" t="s">
        <v>33</v>
      </c>
      <c r="B87" s="107"/>
      <c r="C87" s="107">
        <v>200</v>
      </c>
      <c r="D87" s="107">
        <v>248</v>
      </c>
      <c r="E87" s="13">
        <v>0</v>
      </c>
      <c r="F87" s="107"/>
      <c r="G87" s="107"/>
      <c r="H87" s="107"/>
      <c r="I87" s="107"/>
      <c r="J87" s="107"/>
      <c r="K87" s="107"/>
      <c r="L87" s="107"/>
    </row>
    <row r="88" spans="1:12" s="106" customFormat="1" ht="14.25">
      <c r="A88" s="123" t="s">
        <v>35</v>
      </c>
      <c r="B88" s="107"/>
      <c r="C88" s="107"/>
      <c r="D88" s="107">
        <v>0</v>
      </c>
      <c r="E88" s="13">
        <v>0</v>
      </c>
      <c r="F88" s="107"/>
      <c r="G88" s="107"/>
      <c r="H88" s="107"/>
      <c r="I88" s="107"/>
      <c r="J88" s="107"/>
      <c r="K88" s="107"/>
      <c r="L88" s="107"/>
    </row>
    <row r="89" spans="1:12" s="106" customFormat="1" ht="14.25">
      <c r="A89" s="123" t="s">
        <v>1</v>
      </c>
      <c r="B89" s="107">
        <v>90</v>
      </c>
      <c r="C89" s="107"/>
      <c r="D89" s="107">
        <v>898</v>
      </c>
      <c r="E89" s="13">
        <v>0</v>
      </c>
      <c r="F89" s="107"/>
      <c r="G89" s="107"/>
      <c r="H89" s="107"/>
      <c r="I89" s="107"/>
      <c r="J89" s="107"/>
      <c r="K89" s="107"/>
      <c r="L89" s="107"/>
    </row>
    <row r="90" spans="1:12" s="106" customFormat="1" ht="16.5" customHeight="1">
      <c r="A90" s="107" t="s">
        <v>24</v>
      </c>
      <c r="B90" s="107">
        <f>B20</f>
        <v>170000</v>
      </c>
      <c r="C90" s="107">
        <v>170000</v>
      </c>
      <c r="D90" s="107">
        <v>171331</v>
      </c>
      <c r="E90" s="13">
        <v>180000</v>
      </c>
      <c r="F90" s="107">
        <f aca="true" t="shared" si="23" ref="F90:L90">F20</f>
        <v>176942</v>
      </c>
      <c r="G90" s="107">
        <f t="shared" si="23"/>
        <v>178426</v>
      </c>
      <c r="H90" s="107">
        <f t="shared" si="23"/>
        <v>181718</v>
      </c>
      <c r="I90" s="107">
        <f t="shared" si="23"/>
        <v>181733</v>
      </c>
      <c r="J90" s="107">
        <f t="shared" si="23"/>
        <v>181444</v>
      </c>
      <c r="K90" s="107">
        <f t="shared" si="23"/>
        <v>177855</v>
      </c>
      <c r="L90" s="107">
        <f t="shared" si="23"/>
        <v>180806</v>
      </c>
    </row>
    <row r="91" spans="1:12" s="106" customFormat="1" ht="14.25">
      <c r="A91" s="120" t="s">
        <v>13</v>
      </c>
      <c r="B91" s="120">
        <f aca="true" t="shared" si="24" ref="B91:L91">B77+B83+B90</f>
        <v>236056</v>
      </c>
      <c r="C91" s="120">
        <f t="shared" si="24"/>
        <v>236367</v>
      </c>
      <c r="D91" s="120">
        <v>234003</v>
      </c>
      <c r="E91" s="622">
        <v>243465</v>
      </c>
      <c r="F91" s="120">
        <f t="shared" si="24"/>
        <v>241129</v>
      </c>
      <c r="G91" s="120">
        <f t="shared" si="24"/>
        <v>243883</v>
      </c>
      <c r="H91" s="120">
        <f t="shared" si="24"/>
        <v>248463</v>
      </c>
      <c r="I91" s="120">
        <f t="shared" si="24"/>
        <v>252111</v>
      </c>
      <c r="J91" s="120">
        <f t="shared" si="24"/>
        <v>255077</v>
      </c>
      <c r="K91" s="120">
        <f t="shared" si="24"/>
        <v>255185</v>
      </c>
      <c r="L91" s="120">
        <f t="shared" si="24"/>
        <v>261940</v>
      </c>
    </row>
    <row r="92" spans="1:12" s="106" customFormat="1" ht="14.25">
      <c r="A92" s="107"/>
      <c r="B92" s="107"/>
      <c r="C92" s="107"/>
      <c r="D92" s="107"/>
      <c r="E92" s="13"/>
      <c r="F92" s="107"/>
      <c r="G92" s="107"/>
      <c r="H92" s="107"/>
      <c r="I92" s="107"/>
      <c r="J92" s="107"/>
      <c r="K92" s="107"/>
      <c r="L92" s="107"/>
    </row>
    <row r="93" spans="1:12" s="106" customFormat="1" ht="14.25">
      <c r="A93" s="120" t="s">
        <v>6</v>
      </c>
      <c r="B93" s="120">
        <f>B94+SUM(B97:B100)+SUM(B114:B117)+B122</f>
        <v>151016</v>
      </c>
      <c r="C93" s="120">
        <f>C94+SUM(C97:C100)+SUM(C114:C117)+C122</f>
        <v>158646</v>
      </c>
      <c r="D93" s="120">
        <v>167883</v>
      </c>
      <c r="E93" s="622">
        <v>181165</v>
      </c>
      <c r="F93" s="120">
        <f>F94+SUM(F97:F100)+SUM(F114:F117)+F122</f>
        <v>184477</v>
      </c>
      <c r="G93" s="120">
        <f aca="true" t="shared" si="25" ref="G93:L93">G94+SUM(G97:G100)+SUM(G114:G117)+G122</f>
        <v>184974</v>
      </c>
      <c r="H93" s="120">
        <f t="shared" si="25"/>
        <v>187110</v>
      </c>
      <c r="I93" s="120">
        <f t="shared" si="25"/>
        <v>188559</v>
      </c>
      <c r="J93" s="120">
        <f t="shared" si="25"/>
        <v>189047</v>
      </c>
      <c r="K93" s="120">
        <f t="shared" si="25"/>
        <v>193805</v>
      </c>
      <c r="L93" s="120">
        <f t="shared" si="25"/>
        <v>198285</v>
      </c>
    </row>
    <row r="94" spans="1:13" s="106" customFormat="1" ht="14.25">
      <c r="A94" s="121" t="s">
        <v>26</v>
      </c>
      <c r="B94" s="107">
        <f aca="true" t="shared" si="26" ref="B94:G94">B95+B96</f>
        <v>4963</v>
      </c>
      <c r="C94" s="107">
        <f t="shared" si="26"/>
        <v>6495</v>
      </c>
      <c r="D94" s="107">
        <v>6337</v>
      </c>
      <c r="E94" s="13">
        <v>10179</v>
      </c>
      <c r="F94" s="107">
        <f t="shared" si="26"/>
        <v>10442</v>
      </c>
      <c r="G94" s="107">
        <f t="shared" si="26"/>
        <v>10671</v>
      </c>
      <c r="H94" s="107">
        <f>H95+H96</f>
        <v>10906</v>
      </c>
      <c r="I94" s="107">
        <f>I95+I96</f>
        <v>11147</v>
      </c>
      <c r="J94" s="107">
        <f>J95+J96</f>
        <v>11391</v>
      </c>
      <c r="K94" s="107">
        <f>K95+K96</f>
        <v>11642</v>
      </c>
      <c r="L94" s="107">
        <f>L95+L96</f>
        <v>11898</v>
      </c>
      <c r="M94" s="129"/>
    </row>
    <row r="95" spans="1:13" s="106" customFormat="1" ht="14.25">
      <c r="A95" s="114" t="s">
        <v>23</v>
      </c>
      <c r="B95" s="107">
        <v>4963</v>
      </c>
      <c r="C95" s="107">
        <v>6495</v>
      </c>
      <c r="D95" s="107">
        <v>6337</v>
      </c>
      <c r="E95" s="13">
        <v>9622</v>
      </c>
      <c r="F95" s="107">
        <f>INT(F25*0.9+0.5)</f>
        <v>10442</v>
      </c>
      <c r="G95" s="107">
        <f aca="true" t="shared" si="27" ref="G95:L95">INT(G25*0.9+0.5)</f>
        <v>10671</v>
      </c>
      <c r="H95" s="107">
        <f t="shared" si="27"/>
        <v>10906</v>
      </c>
      <c r="I95" s="107">
        <f t="shared" si="27"/>
        <v>11147</v>
      </c>
      <c r="J95" s="107">
        <f t="shared" si="27"/>
        <v>11391</v>
      </c>
      <c r="K95" s="107">
        <f t="shared" si="27"/>
        <v>11642</v>
      </c>
      <c r="L95" s="107">
        <f t="shared" si="27"/>
        <v>11898</v>
      </c>
      <c r="M95" s="126"/>
    </row>
    <row r="96" spans="1:12" s="106" customFormat="1" ht="14.25">
      <c r="A96" s="114" t="s">
        <v>22</v>
      </c>
      <c r="B96" s="107"/>
      <c r="C96" s="107"/>
      <c r="D96" s="107"/>
      <c r="E96" s="13">
        <v>557</v>
      </c>
      <c r="F96" s="107"/>
      <c r="G96" s="107"/>
      <c r="H96" s="107"/>
      <c r="I96" s="107"/>
      <c r="J96" s="107"/>
      <c r="K96" s="107"/>
      <c r="L96" s="107"/>
    </row>
    <row r="97" spans="1:12" s="106" customFormat="1" ht="14.25">
      <c r="A97" s="121" t="s">
        <v>27</v>
      </c>
      <c r="B97" s="107">
        <v>10876</v>
      </c>
      <c r="C97" s="107">
        <v>9424</v>
      </c>
      <c r="D97" s="107">
        <v>9238</v>
      </c>
      <c r="E97" s="13">
        <v>8454</v>
      </c>
      <c r="F97" s="107">
        <f>INT('G i E'!G80/1000+0.5)</f>
        <v>7570</v>
      </c>
      <c r="G97" s="107">
        <f>INT('G i E'!H80/1000+0.5)</f>
        <v>7847</v>
      </c>
      <c r="H97" s="107">
        <f>INT('G i E'!I80/1000+0.5)</f>
        <v>8135</v>
      </c>
      <c r="I97" s="107">
        <f>INT('G i E'!J80/1000+0.5)</f>
        <v>8564</v>
      </c>
      <c r="J97" s="107">
        <f>INT('G i E'!K80/1000+0.5)</f>
        <v>8575</v>
      </c>
      <c r="K97" s="107">
        <f>INT('G i E'!L80/1000+0.5)</f>
        <v>8890</v>
      </c>
      <c r="L97" s="107">
        <f>INT('G i E'!M80/1000+0.5)</f>
        <v>9218</v>
      </c>
    </row>
    <row r="98" spans="1:12" s="106" customFormat="1" ht="14.25">
      <c r="A98" s="121" t="s">
        <v>29</v>
      </c>
      <c r="B98" s="107">
        <v>14273</v>
      </c>
      <c r="C98" s="107">
        <v>22441</v>
      </c>
      <c r="D98" s="107">
        <v>30013</v>
      </c>
      <c r="E98" s="13">
        <v>34089</v>
      </c>
      <c r="F98" s="107">
        <f>INT('G i E'!G37)</f>
        <v>34394</v>
      </c>
      <c r="G98" s="107">
        <f>INT('G i E'!H37)</f>
        <v>35492</v>
      </c>
      <c r="H98" s="107">
        <f>INT('G i E'!I37)</f>
        <v>36503</v>
      </c>
      <c r="I98" s="107">
        <f>INT('G i E'!J37)</f>
        <v>32014</v>
      </c>
      <c r="J98" s="107">
        <f>INT('G i E'!K37)</f>
        <v>30295</v>
      </c>
      <c r="K98" s="107">
        <f>INT('G i E'!L37)</f>
        <v>29519</v>
      </c>
      <c r="L98" s="107">
        <f>INT('G i E'!M37)</f>
        <v>27930</v>
      </c>
    </row>
    <row r="99" spans="1:12" s="106" customFormat="1" ht="14.25">
      <c r="A99" s="121" t="s">
        <v>28</v>
      </c>
      <c r="B99" s="107">
        <v>349</v>
      </c>
      <c r="C99" s="107">
        <v>353</v>
      </c>
      <c r="D99" s="107">
        <v>336</v>
      </c>
      <c r="E99" s="13">
        <v>344</v>
      </c>
      <c r="F99" s="107">
        <f>INT('G i E'!G38)</f>
        <v>350</v>
      </c>
      <c r="G99" s="107">
        <f>INT('G i E'!H38)</f>
        <v>356</v>
      </c>
      <c r="H99" s="107">
        <f>INT('G i E'!I38)</f>
        <v>362</v>
      </c>
      <c r="I99" s="107">
        <f>INT('G i E'!J38)</f>
        <v>368</v>
      </c>
      <c r="J99" s="107">
        <f>INT('G i E'!K38)</f>
        <v>374</v>
      </c>
      <c r="K99" s="107">
        <f>INT('G i E'!L38)</f>
        <v>380</v>
      </c>
      <c r="L99" s="107">
        <f>INT('G i E'!M38)</f>
        <v>387</v>
      </c>
    </row>
    <row r="100" spans="1:12" s="106" customFormat="1" ht="14.25">
      <c r="A100" s="121" t="s">
        <v>30</v>
      </c>
      <c r="B100" s="107">
        <f aca="true" t="shared" si="28" ref="B100:G100">B101+B108</f>
        <v>53104</v>
      </c>
      <c r="C100" s="107">
        <f t="shared" si="28"/>
        <v>53065</v>
      </c>
      <c r="D100" s="107">
        <v>48178</v>
      </c>
      <c r="E100" s="13">
        <v>55177</v>
      </c>
      <c r="F100" s="107">
        <f t="shared" si="28"/>
        <v>64066</v>
      </c>
      <c r="G100" s="107">
        <f t="shared" si="28"/>
        <v>64365</v>
      </c>
      <c r="H100" s="107">
        <f>H101+H108</f>
        <v>65159</v>
      </c>
      <c r="I100" s="107">
        <f>I101+I108</f>
        <v>66828</v>
      </c>
      <c r="J100" s="107">
        <f>J101+J108</f>
        <v>68339</v>
      </c>
      <c r="K100" s="107">
        <f>K101+K108</f>
        <v>70086</v>
      </c>
      <c r="L100" s="107">
        <f>L101+L108</f>
        <v>71868</v>
      </c>
    </row>
    <row r="101" spans="1:12" s="106" customFormat="1" ht="14.25">
      <c r="A101" s="114" t="s">
        <v>23</v>
      </c>
      <c r="B101" s="107">
        <f aca="true" t="shared" si="29" ref="B101:G101">SUM(B102:B107)</f>
        <v>51147</v>
      </c>
      <c r="C101" s="107">
        <f t="shared" si="29"/>
        <v>51466</v>
      </c>
      <c r="D101" s="107">
        <v>45024</v>
      </c>
      <c r="E101" s="13">
        <v>52743</v>
      </c>
      <c r="F101" s="107">
        <f t="shared" si="29"/>
        <v>62657</v>
      </c>
      <c r="G101" s="107">
        <f t="shared" si="29"/>
        <v>62936</v>
      </c>
      <c r="H101" s="107">
        <f>SUM(H102:H107)</f>
        <v>63708</v>
      </c>
      <c r="I101" s="107">
        <f>SUM(I102:I107)</f>
        <v>65356</v>
      </c>
      <c r="J101" s="107">
        <f>SUM(J102:J107)</f>
        <v>66844</v>
      </c>
      <c r="K101" s="107">
        <f>SUM(K102:K107)</f>
        <v>68568</v>
      </c>
      <c r="L101" s="107">
        <f>SUM(L102:L107)</f>
        <v>70326</v>
      </c>
    </row>
    <row r="102" spans="1:13" s="106" customFormat="1" ht="14.25">
      <c r="A102" s="123" t="s">
        <v>36</v>
      </c>
      <c r="B102" s="107">
        <f>23946-2900</f>
        <v>21046</v>
      </c>
      <c r="C102" s="107">
        <v>18923</v>
      </c>
      <c r="D102" s="107">
        <v>17314</v>
      </c>
      <c r="E102" s="13">
        <v>22583</v>
      </c>
      <c r="F102" s="107">
        <f>INT(0.96*F32+0.5)</f>
        <v>24784</v>
      </c>
      <c r="G102" s="107">
        <f aca="true" t="shared" si="30" ref="G102:L102">INT(0.96*G32+0.5)</f>
        <v>24834</v>
      </c>
      <c r="H102" s="107">
        <f t="shared" si="30"/>
        <v>25370</v>
      </c>
      <c r="I102" s="107">
        <f t="shared" si="30"/>
        <v>27720</v>
      </c>
      <c r="J102" s="107">
        <f t="shared" si="30"/>
        <v>29361</v>
      </c>
      <c r="K102" s="107">
        <f t="shared" si="30"/>
        <v>31194</v>
      </c>
      <c r="L102" s="107">
        <f t="shared" si="30"/>
        <v>33041</v>
      </c>
      <c r="M102" s="126"/>
    </row>
    <row r="103" spans="1:12" s="106" customFormat="1" ht="14.25">
      <c r="A103" s="123" t="s">
        <v>40</v>
      </c>
      <c r="B103" s="107">
        <v>27201</v>
      </c>
      <c r="C103" s="107">
        <v>30128</v>
      </c>
      <c r="D103" s="107">
        <v>25164</v>
      </c>
      <c r="E103" s="13">
        <v>27400</v>
      </c>
      <c r="F103" s="107">
        <f>INT('I Taxi'!E20/1000+0.5)</f>
        <v>27398</v>
      </c>
      <c r="G103" s="107">
        <f>INT('I Taxi'!F20/1000+0.5)</f>
        <v>27398</v>
      </c>
      <c r="H103" s="107">
        <f>INT('I Taxi'!G20/1000+0.5)</f>
        <v>27398</v>
      </c>
      <c r="I103" s="107">
        <f>INT('I Taxi'!H20/1000+0.5)</f>
        <v>26455</v>
      </c>
      <c r="J103" s="107">
        <f>INT('I Taxi'!I20/1000+0.5)</f>
        <v>26056</v>
      </c>
      <c r="K103" s="107">
        <f>INT('I Taxi'!J20/1000+0.5)</f>
        <v>25695</v>
      </c>
      <c r="L103" s="107">
        <f>INT('I Taxi'!K20/1000+0.5)</f>
        <v>25349</v>
      </c>
    </row>
    <row r="104" spans="1:12" s="106" customFormat="1" ht="14.25">
      <c r="A104" s="123" t="s">
        <v>39</v>
      </c>
      <c r="B104" s="107">
        <v>2900</v>
      </c>
      <c r="C104" s="107">
        <v>2415</v>
      </c>
      <c r="D104" s="107">
        <v>2546</v>
      </c>
      <c r="E104" s="13">
        <v>2760</v>
      </c>
      <c r="F104" s="107">
        <f aca="true" t="shared" si="31" ref="F104:L104">F34</f>
        <v>3066</v>
      </c>
      <c r="G104" s="107">
        <f t="shared" si="31"/>
        <v>3133</v>
      </c>
      <c r="H104" s="107">
        <f t="shared" si="31"/>
        <v>3202</v>
      </c>
      <c r="I104" s="107">
        <f t="shared" si="31"/>
        <v>3272</v>
      </c>
      <c r="J104" s="107">
        <f t="shared" si="31"/>
        <v>3344</v>
      </c>
      <c r="K104" s="107">
        <f t="shared" si="31"/>
        <v>3418</v>
      </c>
      <c r="L104" s="107">
        <f t="shared" si="31"/>
        <v>3493</v>
      </c>
    </row>
    <row r="105" spans="1:12" s="106" customFormat="1" ht="14.25">
      <c r="A105" s="442" t="s">
        <v>596</v>
      </c>
      <c r="B105" s="107"/>
      <c r="C105" s="107"/>
      <c r="D105" s="107"/>
      <c r="E105" s="13"/>
      <c r="F105" s="107">
        <f>INT(0.96*F35+0.5)</f>
        <v>3075</v>
      </c>
      <c r="G105" s="107">
        <f aca="true" t="shared" si="32" ref="G105:L105">INT(0.96*G35+0.5)</f>
        <v>3142</v>
      </c>
      <c r="H105" s="107">
        <f t="shared" si="32"/>
        <v>3211</v>
      </c>
      <c r="I105" s="107">
        <f t="shared" si="32"/>
        <v>3282</v>
      </c>
      <c r="J105" s="107">
        <f t="shared" si="32"/>
        <v>3354</v>
      </c>
      <c r="K105" s="107">
        <f t="shared" si="32"/>
        <v>3428</v>
      </c>
      <c r="L105" s="107">
        <f t="shared" si="32"/>
        <v>3504</v>
      </c>
    </row>
    <row r="106" spans="1:12" s="106" customFormat="1" ht="14.25">
      <c r="A106" s="442" t="s">
        <v>597</v>
      </c>
      <c r="B106" s="107"/>
      <c r="C106" s="107"/>
      <c r="D106" s="107"/>
      <c r="E106" s="13"/>
      <c r="F106" s="107">
        <f>INT(0.96*F36+0.5)</f>
        <v>4334</v>
      </c>
      <c r="G106" s="107">
        <f aca="true" t="shared" si="33" ref="G106:L106">INT(0.96*G36+0.5)</f>
        <v>4429</v>
      </c>
      <c r="H106" s="107">
        <f t="shared" si="33"/>
        <v>4527</v>
      </c>
      <c r="I106" s="107">
        <f t="shared" si="33"/>
        <v>4627</v>
      </c>
      <c r="J106" s="107">
        <f t="shared" si="33"/>
        <v>4729</v>
      </c>
      <c r="K106" s="107">
        <f t="shared" si="33"/>
        <v>4833</v>
      </c>
      <c r="L106" s="107">
        <f t="shared" si="33"/>
        <v>4939</v>
      </c>
    </row>
    <row r="107" spans="1:12" s="106" customFormat="1" ht="14.25">
      <c r="A107" s="123" t="s">
        <v>43</v>
      </c>
      <c r="B107" s="107">
        <f>INT(0.85*B37)</f>
        <v>0</v>
      </c>
      <c r="C107" s="107">
        <v>0</v>
      </c>
      <c r="D107" s="107">
        <v>0</v>
      </c>
      <c r="E107" s="13">
        <v>0</v>
      </c>
      <c r="F107" s="107">
        <f aca="true" t="shared" si="34" ref="F107:L107">INT(0.85*F37)</f>
        <v>0</v>
      </c>
      <c r="G107" s="107">
        <f t="shared" si="34"/>
        <v>0</v>
      </c>
      <c r="H107" s="107">
        <f t="shared" si="34"/>
        <v>0</v>
      </c>
      <c r="I107" s="107">
        <f t="shared" si="34"/>
        <v>0</v>
      </c>
      <c r="J107" s="107">
        <f t="shared" si="34"/>
        <v>0</v>
      </c>
      <c r="K107" s="107">
        <f t="shared" si="34"/>
        <v>0</v>
      </c>
      <c r="L107" s="107">
        <f t="shared" si="34"/>
        <v>0</v>
      </c>
    </row>
    <row r="108" spans="1:12" s="106" customFormat="1" ht="14.25">
      <c r="A108" s="114" t="s">
        <v>22</v>
      </c>
      <c r="B108" s="107">
        <f aca="true" t="shared" si="35" ref="B108:G108">SUM(B109:B113)</f>
        <v>1957</v>
      </c>
      <c r="C108" s="107">
        <f t="shared" si="35"/>
        <v>1599</v>
      </c>
      <c r="D108" s="107">
        <v>3154</v>
      </c>
      <c r="E108" s="13">
        <v>2434</v>
      </c>
      <c r="F108" s="107">
        <f t="shared" si="35"/>
        <v>1409</v>
      </c>
      <c r="G108" s="107">
        <f t="shared" si="35"/>
        <v>1429</v>
      </c>
      <c r="H108" s="107">
        <f>SUM(H109:H113)</f>
        <v>1451</v>
      </c>
      <c r="I108" s="107">
        <f>SUM(I109:I113)</f>
        <v>1472</v>
      </c>
      <c r="J108" s="107">
        <f>SUM(J109:J113)</f>
        <v>1495</v>
      </c>
      <c r="K108" s="107">
        <f>SUM(K109:K113)</f>
        <v>1518</v>
      </c>
      <c r="L108" s="107">
        <f>SUM(L109:L113)</f>
        <v>1542</v>
      </c>
    </row>
    <row r="109" spans="1:12" s="106" customFormat="1" ht="14.25">
      <c r="A109" s="123" t="s">
        <v>38</v>
      </c>
      <c r="B109" s="107">
        <v>794</v>
      </c>
      <c r="C109" s="107">
        <v>574</v>
      </c>
      <c r="D109" s="107">
        <v>559</v>
      </c>
      <c r="E109" s="13">
        <v>164</v>
      </c>
      <c r="F109" s="107">
        <f aca="true" t="shared" si="36" ref="F109:G113">INT(0.9*F39+0.5)</f>
        <v>0</v>
      </c>
      <c r="G109" s="107">
        <f t="shared" si="36"/>
        <v>0</v>
      </c>
      <c r="H109" s="107">
        <f aca="true" t="shared" si="37" ref="H109:L113">INT(0.9*H39+0.5)</f>
        <v>0</v>
      </c>
      <c r="I109" s="107">
        <f t="shared" si="37"/>
        <v>0</v>
      </c>
      <c r="J109" s="107">
        <f t="shared" si="37"/>
        <v>0</v>
      </c>
      <c r="K109" s="107">
        <f t="shared" si="37"/>
        <v>0</v>
      </c>
      <c r="L109" s="107">
        <f t="shared" si="37"/>
        <v>0</v>
      </c>
    </row>
    <row r="110" spans="1:12" s="106" customFormat="1" ht="14.25">
      <c r="A110" s="123" t="s">
        <v>33</v>
      </c>
      <c r="B110" s="107">
        <v>1163</v>
      </c>
      <c r="C110" s="107">
        <v>371</v>
      </c>
      <c r="D110" s="107">
        <v>264</v>
      </c>
      <c r="E110" s="13">
        <v>276</v>
      </c>
      <c r="F110" s="107">
        <f t="shared" si="36"/>
        <v>90</v>
      </c>
      <c r="G110" s="107">
        <f t="shared" si="36"/>
        <v>90</v>
      </c>
      <c r="H110" s="107">
        <f t="shared" si="37"/>
        <v>90</v>
      </c>
      <c r="I110" s="107">
        <f t="shared" si="37"/>
        <v>90</v>
      </c>
      <c r="J110" s="107">
        <f t="shared" si="37"/>
        <v>90</v>
      </c>
      <c r="K110" s="107">
        <f t="shared" si="37"/>
        <v>90</v>
      </c>
      <c r="L110" s="107">
        <f t="shared" si="37"/>
        <v>90</v>
      </c>
    </row>
    <row r="111" spans="1:12" s="106" customFormat="1" ht="14.25">
      <c r="A111" s="123" t="s">
        <v>35</v>
      </c>
      <c r="B111" s="107"/>
      <c r="C111" s="107">
        <v>0</v>
      </c>
      <c r="D111" s="107">
        <v>0</v>
      </c>
      <c r="E111" s="13">
        <v>0</v>
      </c>
      <c r="F111" s="107">
        <f t="shared" si="36"/>
        <v>0</v>
      </c>
      <c r="G111" s="107">
        <f t="shared" si="36"/>
        <v>0</v>
      </c>
      <c r="H111" s="107">
        <f t="shared" si="37"/>
        <v>0</v>
      </c>
      <c r="I111" s="107">
        <f t="shared" si="37"/>
        <v>0</v>
      </c>
      <c r="J111" s="107">
        <f t="shared" si="37"/>
        <v>0</v>
      </c>
      <c r="K111" s="107">
        <f t="shared" si="37"/>
        <v>0</v>
      </c>
      <c r="L111" s="107">
        <f t="shared" si="37"/>
        <v>0</v>
      </c>
    </row>
    <row r="112" spans="1:12" s="106" customFormat="1" ht="14.25">
      <c r="A112" s="123" t="s">
        <v>1</v>
      </c>
      <c r="B112" s="107"/>
      <c r="C112" s="107">
        <v>654</v>
      </c>
      <c r="D112" s="107">
        <v>658</v>
      </c>
      <c r="E112" s="13">
        <v>978</v>
      </c>
      <c r="F112" s="107">
        <f t="shared" si="36"/>
        <v>360</v>
      </c>
      <c r="G112" s="107">
        <f t="shared" si="36"/>
        <v>360</v>
      </c>
      <c r="H112" s="107">
        <f t="shared" si="37"/>
        <v>360</v>
      </c>
      <c r="I112" s="107">
        <f t="shared" si="37"/>
        <v>360</v>
      </c>
      <c r="J112" s="107">
        <f t="shared" si="37"/>
        <v>360</v>
      </c>
      <c r="K112" s="107">
        <f t="shared" si="37"/>
        <v>360</v>
      </c>
      <c r="L112" s="107">
        <f t="shared" si="37"/>
        <v>360</v>
      </c>
    </row>
    <row r="113" spans="1:13" s="106" customFormat="1" ht="14.25">
      <c r="A113" s="616" t="s">
        <v>367</v>
      </c>
      <c r="B113" s="107"/>
      <c r="C113" s="107"/>
      <c r="D113" s="107">
        <v>1673</v>
      </c>
      <c r="E113" s="13">
        <v>1016</v>
      </c>
      <c r="F113" s="107">
        <f t="shared" si="36"/>
        <v>959</v>
      </c>
      <c r="G113" s="107">
        <f t="shared" si="36"/>
        <v>979</v>
      </c>
      <c r="H113" s="107">
        <f t="shared" si="37"/>
        <v>1001</v>
      </c>
      <c r="I113" s="107">
        <f t="shared" si="37"/>
        <v>1022</v>
      </c>
      <c r="J113" s="107">
        <f t="shared" si="37"/>
        <v>1045</v>
      </c>
      <c r="K113" s="107">
        <f t="shared" si="37"/>
        <v>1068</v>
      </c>
      <c r="L113" s="107">
        <f t="shared" si="37"/>
        <v>1092</v>
      </c>
      <c r="M113" s="129"/>
    </row>
    <row r="114" spans="1:14" s="106" customFormat="1" ht="14.25">
      <c r="A114" s="123" t="s">
        <v>14</v>
      </c>
      <c r="B114" s="107">
        <v>46910</v>
      </c>
      <c r="C114" s="107">
        <v>48145</v>
      </c>
      <c r="D114" s="107">
        <v>53444</v>
      </c>
      <c r="E114" s="13">
        <v>54213</v>
      </c>
      <c r="F114" s="107">
        <f aca="true" t="shared" si="38" ref="F114:L116">INT(0.93*F44+0.5)</f>
        <v>47762</v>
      </c>
      <c r="G114" s="107">
        <f t="shared" si="38"/>
        <v>47475</v>
      </c>
      <c r="H114" s="107">
        <f t="shared" si="38"/>
        <v>47199</v>
      </c>
      <c r="I114" s="107">
        <f t="shared" si="38"/>
        <v>48971</v>
      </c>
      <c r="J114" s="107">
        <f t="shared" si="38"/>
        <v>50347</v>
      </c>
      <c r="K114" s="107">
        <f t="shared" si="38"/>
        <v>52574</v>
      </c>
      <c r="L114" s="107">
        <f t="shared" si="38"/>
        <v>55189</v>
      </c>
      <c r="N114" s="129"/>
    </row>
    <row r="115" spans="1:12" s="106" customFormat="1" ht="14.25">
      <c r="A115" s="123" t="s">
        <v>15</v>
      </c>
      <c r="B115" s="107">
        <v>14279</v>
      </c>
      <c r="C115" s="107">
        <v>14361</v>
      </c>
      <c r="D115" s="107">
        <v>16473</v>
      </c>
      <c r="E115" s="13">
        <v>16293</v>
      </c>
      <c r="F115" s="107">
        <f>INT(0.316*F114+0.5)-F116</f>
        <v>14301</v>
      </c>
      <c r="G115" s="107">
        <f aca="true" t="shared" si="39" ref="G115:L115">INT(0.316*G114+0.5)-G116</f>
        <v>14184</v>
      </c>
      <c r="H115" s="107">
        <f t="shared" si="39"/>
        <v>14070</v>
      </c>
      <c r="I115" s="107">
        <f t="shared" si="39"/>
        <v>14604</v>
      </c>
      <c r="J115" s="107">
        <f t="shared" si="39"/>
        <v>15013</v>
      </c>
      <c r="K115" s="107">
        <f t="shared" si="39"/>
        <v>15687</v>
      </c>
      <c r="L115" s="107">
        <f t="shared" si="39"/>
        <v>16481</v>
      </c>
    </row>
    <row r="116" spans="1:12" s="106" customFormat="1" ht="14.25">
      <c r="A116" s="442" t="s">
        <v>635</v>
      </c>
      <c r="B116" s="107"/>
      <c r="C116" s="107"/>
      <c r="D116" s="107"/>
      <c r="E116" s="13">
        <v>677</v>
      </c>
      <c r="F116" s="107">
        <f t="shared" si="38"/>
        <v>792</v>
      </c>
      <c r="G116" s="107">
        <f t="shared" si="38"/>
        <v>818</v>
      </c>
      <c r="H116" s="107">
        <f t="shared" si="38"/>
        <v>845</v>
      </c>
      <c r="I116" s="107">
        <f t="shared" si="38"/>
        <v>871</v>
      </c>
      <c r="J116" s="107">
        <f t="shared" si="38"/>
        <v>897</v>
      </c>
      <c r="K116" s="107">
        <f t="shared" si="38"/>
        <v>926</v>
      </c>
      <c r="L116" s="107">
        <f t="shared" si="38"/>
        <v>959</v>
      </c>
    </row>
    <row r="117" spans="1:12" s="106" customFormat="1" ht="14.25">
      <c r="A117" s="123" t="s">
        <v>7</v>
      </c>
      <c r="B117" s="107">
        <f aca="true" t="shared" si="40" ref="B117:G117">B118+B119</f>
        <v>7545</v>
      </c>
      <c r="C117" s="107">
        <f t="shared" si="40"/>
        <v>7163</v>
      </c>
      <c r="D117" s="107">
        <v>6670</v>
      </c>
      <c r="E117" s="13">
        <v>6517</v>
      </c>
      <c r="F117" s="107">
        <f t="shared" si="40"/>
        <v>7853</v>
      </c>
      <c r="G117" s="107">
        <f t="shared" si="40"/>
        <v>8026</v>
      </c>
      <c r="H117" s="107">
        <f>H118+H119</f>
        <v>8202</v>
      </c>
      <c r="I117" s="107">
        <f>I118+I119</f>
        <v>8383</v>
      </c>
      <c r="J117" s="107">
        <f>J118+J119</f>
        <v>8567</v>
      </c>
      <c r="K117" s="107">
        <f>K118+K119</f>
        <v>8755</v>
      </c>
      <c r="L117" s="107">
        <f>L118+L119</f>
        <v>8948</v>
      </c>
    </row>
    <row r="118" spans="1:21" s="106" customFormat="1" ht="14.25">
      <c r="A118" s="114" t="s">
        <v>23</v>
      </c>
      <c r="B118" s="107">
        <f>7545</f>
        <v>7545</v>
      </c>
      <c r="C118" s="107">
        <v>7163</v>
      </c>
      <c r="D118" s="107">
        <v>6670</v>
      </c>
      <c r="E118" s="13">
        <v>6517</v>
      </c>
      <c r="F118" s="107">
        <f aca="true" t="shared" si="41" ref="F118:L118">INT(0.8667*F48+0.5-1)</f>
        <v>7853</v>
      </c>
      <c r="G118" s="107">
        <f t="shared" si="41"/>
        <v>8026</v>
      </c>
      <c r="H118" s="107">
        <f t="shared" si="41"/>
        <v>8202</v>
      </c>
      <c r="I118" s="107">
        <f t="shared" si="41"/>
        <v>8383</v>
      </c>
      <c r="J118" s="107">
        <f t="shared" si="41"/>
        <v>8567</v>
      </c>
      <c r="K118" s="107">
        <f t="shared" si="41"/>
        <v>8755</v>
      </c>
      <c r="L118" s="107">
        <f t="shared" si="41"/>
        <v>8948</v>
      </c>
      <c r="Q118" s="107"/>
      <c r="R118" s="107"/>
      <c r="S118" s="107"/>
      <c r="T118" s="107"/>
      <c r="U118" s="107"/>
    </row>
    <row r="119" spans="1:12" s="106" customFormat="1" ht="14.25">
      <c r="A119" s="114" t="s">
        <v>22</v>
      </c>
      <c r="B119" s="107">
        <f aca="true" t="shared" si="42" ref="B119:G119">SUM(B120:B121)</f>
        <v>0</v>
      </c>
      <c r="C119" s="107">
        <f t="shared" si="42"/>
        <v>0</v>
      </c>
      <c r="D119" s="107">
        <v>0</v>
      </c>
      <c r="E119" s="13">
        <v>0</v>
      </c>
      <c r="F119" s="107">
        <f t="shared" si="42"/>
        <v>0</v>
      </c>
      <c r="G119" s="107">
        <f t="shared" si="42"/>
        <v>0</v>
      </c>
      <c r="H119" s="107">
        <f>SUM(H120:H121)</f>
        <v>0</v>
      </c>
      <c r="I119" s="107">
        <f>SUM(I120:I121)</f>
        <v>0</v>
      </c>
      <c r="J119" s="107">
        <f>SUM(J120:J121)</f>
        <v>0</v>
      </c>
      <c r="K119" s="107">
        <f>SUM(K120:K121)</f>
        <v>0</v>
      </c>
      <c r="L119" s="107">
        <f>SUM(L120:L121)</f>
        <v>0</v>
      </c>
    </row>
    <row r="120" spans="1:12" s="106" customFormat="1" ht="14.25">
      <c r="A120" s="123" t="s">
        <v>47</v>
      </c>
      <c r="B120" s="107"/>
      <c r="C120" s="107"/>
      <c r="D120" s="107">
        <v>0</v>
      </c>
      <c r="E120" s="13">
        <v>0</v>
      </c>
      <c r="F120" s="107"/>
      <c r="G120" s="107"/>
      <c r="H120" s="107"/>
      <c r="I120" s="107"/>
      <c r="J120" s="107"/>
      <c r="K120" s="107"/>
      <c r="L120" s="107"/>
    </row>
    <row r="121" spans="1:25" s="106" customFormat="1" ht="14.25">
      <c r="A121" s="123" t="s">
        <v>1</v>
      </c>
      <c r="B121" s="107"/>
      <c r="C121" s="107"/>
      <c r="D121" s="107">
        <v>0</v>
      </c>
      <c r="E121" s="13">
        <v>0</v>
      </c>
      <c r="F121" s="107"/>
      <c r="G121" s="107"/>
      <c r="H121" s="107"/>
      <c r="I121" s="107"/>
      <c r="J121" s="107"/>
      <c r="K121" s="107"/>
      <c r="L121" s="107"/>
      <c r="O121" s="319">
        <v>2012</v>
      </c>
      <c r="P121" s="319">
        <v>2013</v>
      </c>
      <c r="Q121" s="320">
        <v>2014</v>
      </c>
      <c r="R121" s="320">
        <v>2015</v>
      </c>
      <c r="S121" s="320">
        <v>2016</v>
      </c>
      <c r="T121" s="320">
        <v>2017</v>
      </c>
      <c r="U121" s="320">
        <v>2018</v>
      </c>
      <c r="V121" s="320">
        <v>2019</v>
      </c>
      <c r="W121" s="320">
        <v>2020</v>
      </c>
      <c r="X121" s="320">
        <v>2021</v>
      </c>
      <c r="Y121" s="320">
        <v>2022</v>
      </c>
    </row>
    <row r="122" spans="1:25" s="106" customFormat="1" ht="14.25">
      <c r="A122" s="123" t="s">
        <v>11</v>
      </c>
      <c r="B122" s="107">
        <v>-1283</v>
      </c>
      <c r="C122" s="107">
        <v>-2801</v>
      </c>
      <c r="D122" s="107">
        <v>-2806</v>
      </c>
      <c r="E122" s="13">
        <v>-4778</v>
      </c>
      <c r="F122" s="107">
        <f aca="true" t="shared" si="43" ref="F122:L122">INT(F52*0.93+0.5)</f>
        <v>-3053</v>
      </c>
      <c r="G122" s="107">
        <f t="shared" si="43"/>
        <v>-4260</v>
      </c>
      <c r="H122" s="107">
        <f t="shared" si="43"/>
        <v>-4271</v>
      </c>
      <c r="I122" s="107">
        <f t="shared" si="43"/>
        <v>-3191</v>
      </c>
      <c r="J122" s="107">
        <f t="shared" si="43"/>
        <v>-4751</v>
      </c>
      <c r="K122" s="107">
        <f t="shared" si="43"/>
        <v>-4654</v>
      </c>
      <c r="L122" s="107">
        <f t="shared" si="43"/>
        <v>-4593</v>
      </c>
      <c r="N122" s="321" t="s">
        <v>100</v>
      </c>
      <c r="O122" s="322">
        <f aca="true" t="shared" si="44" ref="O122:Y122">B77+B83-B93-B125-B132</f>
        <v>-166989</v>
      </c>
      <c r="P122" s="322">
        <f t="shared" si="44"/>
        <v>-180073</v>
      </c>
      <c r="Q122" s="322">
        <f t="shared" si="44"/>
        <v>-190140</v>
      </c>
      <c r="R122" s="322">
        <f t="shared" si="44"/>
        <v>-205157</v>
      </c>
      <c r="S122" s="322">
        <f t="shared" si="44"/>
        <v>-180866</v>
      </c>
      <c r="T122" s="322">
        <f t="shared" si="44"/>
        <v>-182271</v>
      </c>
      <c r="U122" s="322">
        <f t="shared" si="44"/>
        <v>-185432</v>
      </c>
      <c r="V122" s="322">
        <f t="shared" si="44"/>
        <v>-201841</v>
      </c>
      <c r="W122" s="322">
        <f t="shared" si="44"/>
        <v>-211964</v>
      </c>
      <c r="X122" s="322">
        <f t="shared" si="44"/>
        <v>-216375</v>
      </c>
      <c r="Y122" s="322">
        <f t="shared" si="44"/>
        <v>-227127</v>
      </c>
    </row>
    <row r="123" spans="1:25" s="106" customFormat="1" ht="14.25">
      <c r="A123" s="120" t="s">
        <v>16</v>
      </c>
      <c r="B123" s="120">
        <f aca="true" t="shared" si="45" ref="B123:G123">B91-B93</f>
        <v>85040</v>
      </c>
      <c r="C123" s="120">
        <f t="shared" si="45"/>
        <v>77721</v>
      </c>
      <c r="D123" s="120">
        <v>66120</v>
      </c>
      <c r="E123" s="622">
        <v>62300</v>
      </c>
      <c r="F123" s="120">
        <f t="shared" si="45"/>
        <v>56652</v>
      </c>
      <c r="G123" s="120">
        <f t="shared" si="45"/>
        <v>58909</v>
      </c>
      <c r="H123" s="120">
        <f>H91-H93</f>
        <v>61353</v>
      </c>
      <c r="I123" s="120">
        <f>I91-I93</f>
        <v>63552</v>
      </c>
      <c r="J123" s="120">
        <f>J91-J93</f>
        <v>66030</v>
      </c>
      <c r="K123" s="120">
        <f>K91-K93</f>
        <v>61380</v>
      </c>
      <c r="L123" s="120">
        <f>L91-L93</f>
        <v>63655</v>
      </c>
      <c r="N123" s="321" t="s">
        <v>101</v>
      </c>
      <c r="O123" s="322">
        <f aca="true" t="shared" si="46" ref="O123:T123">B124</f>
        <v>714</v>
      </c>
      <c r="P123" s="322">
        <f t="shared" si="46"/>
        <v>5078</v>
      </c>
      <c r="Q123" s="322">
        <f t="shared" si="46"/>
        <v>18081</v>
      </c>
      <c r="R123" s="322">
        <f t="shared" si="46"/>
        <v>32007</v>
      </c>
      <c r="S123" s="322">
        <f t="shared" si="46"/>
        <v>10923</v>
      </c>
      <c r="T123" s="322">
        <f t="shared" si="46"/>
        <v>10924</v>
      </c>
      <c r="U123" s="322">
        <f>H124</f>
        <v>10926</v>
      </c>
      <c r="V123" s="322">
        <f>I124</f>
        <v>27426</v>
      </c>
      <c r="W123" s="322">
        <f>J124</f>
        <v>37924</v>
      </c>
      <c r="X123" s="322">
        <f>K124</f>
        <v>45927</v>
      </c>
      <c r="Y123" s="322">
        <f>L124</f>
        <v>53924</v>
      </c>
    </row>
    <row r="124" spans="1:25" s="106" customFormat="1" ht="14.25">
      <c r="A124" s="121" t="s">
        <v>321</v>
      </c>
      <c r="B124" s="107">
        <f>B54</f>
        <v>714</v>
      </c>
      <c r="C124" s="107">
        <v>5078</v>
      </c>
      <c r="D124" s="107">
        <v>18081</v>
      </c>
      <c r="E124" s="13">
        <v>32007</v>
      </c>
      <c r="F124" s="107">
        <f aca="true" t="shared" si="47" ref="F124:L124">F54-25</f>
        <v>10923</v>
      </c>
      <c r="G124" s="107">
        <f t="shared" si="47"/>
        <v>10924</v>
      </c>
      <c r="H124" s="107">
        <f t="shared" si="47"/>
        <v>10926</v>
      </c>
      <c r="I124" s="107">
        <f t="shared" si="47"/>
        <v>27426</v>
      </c>
      <c r="J124" s="107">
        <f t="shared" si="47"/>
        <v>37924</v>
      </c>
      <c r="K124" s="107">
        <f t="shared" si="47"/>
        <v>45927</v>
      </c>
      <c r="L124" s="107">
        <f t="shared" si="47"/>
        <v>53924</v>
      </c>
      <c r="N124" s="321" t="s">
        <v>102</v>
      </c>
      <c r="O124" s="322">
        <f aca="true" t="shared" si="48" ref="O124:T124">SUM(O122+O123)</f>
        <v>-166275</v>
      </c>
      <c r="P124" s="322">
        <f t="shared" si="48"/>
        <v>-174995</v>
      </c>
      <c r="Q124" s="322">
        <f t="shared" si="48"/>
        <v>-172059</v>
      </c>
      <c r="R124" s="322">
        <f t="shared" si="48"/>
        <v>-173150</v>
      </c>
      <c r="S124" s="322">
        <f t="shared" si="48"/>
        <v>-169943</v>
      </c>
      <c r="T124" s="322">
        <f t="shared" si="48"/>
        <v>-171347</v>
      </c>
      <c r="U124" s="322">
        <f>SUM(U122+U123)</f>
        <v>-174506</v>
      </c>
      <c r="V124" s="322">
        <f>SUM(V122+V123)</f>
        <v>-174415</v>
      </c>
      <c r="W124" s="322">
        <f>SUM(W122+W123)</f>
        <v>-174040</v>
      </c>
      <c r="X124" s="322">
        <f>SUM(X122+X123)</f>
        <v>-170448</v>
      </c>
      <c r="Y124" s="322">
        <f>SUM(Y122+Y123)</f>
        <v>-173203</v>
      </c>
    </row>
    <row r="125" spans="1:25" s="106" customFormat="1" ht="14.25">
      <c r="A125" s="121" t="s">
        <v>252</v>
      </c>
      <c r="B125" s="107">
        <v>70572</v>
      </c>
      <c r="C125" s="107">
        <v>75851</v>
      </c>
      <c r="D125" s="107">
        <v>79890</v>
      </c>
      <c r="E125" s="13">
        <v>83907</v>
      </c>
      <c r="F125" s="107">
        <f aca="true" t="shared" si="49" ref="F125:L125">INT(E125/E55*F55)</f>
        <v>57576</v>
      </c>
      <c r="G125" s="107">
        <f t="shared" si="49"/>
        <v>60054</v>
      </c>
      <c r="H125" s="107">
        <f t="shared" si="49"/>
        <v>62667</v>
      </c>
      <c r="I125" s="107">
        <f t="shared" si="49"/>
        <v>81660</v>
      </c>
      <c r="J125" s="107">
        <f t="shared" si="49"/>
        <v>94750</v>
      </c>
      <c r="K125" s="107">
        <f t="shared" si="49"/>
        <v>98400</v>
      </c>
      <c r="L125" s="107">
        <f t="shared" si="49"/>
        <v>108676</v>
      </c>
      <c r="N125" s="321" t="s">
        <v>49</v>
      </c>
      <c r="O125" s="322">
        <f>B79+B83</f>
        <v>66056</v>
      </c>
      <c r="P125" s="322">
        <f aca="true" t="shared" si="50" ref="P125:Y125">C79+C83</f>
        <v>64885</v>
      </c>
      <c r="Q125" s="322">
        <f t="shared" si="50"/>
        <v>60981</v>
      </c>
      <c r="R125" s="636">
        <f t="shared" si="50"/>
        <v>61962</v>
      </c>
      <c r="S125" s="636">
        <f t="shared" si="50"/>
        <v>63370</v>
      </c>
      <c r="T125" s="636">
        <f t="shared" si="50"/>
        <v>64628</v>
      </c>
      <c r="U125" s="636">
        <f t="shared" si="50"/>
        <v>65903</v>
      </c>
      <c r="V125" s="636">
        <f t="shared" si="50"/>
        <v>69522</v>
      </c>
      <c r="W125" s="636">
        <f t="shared" si="50"/>
        <v>72763</v>
      </c>
      <c r="X125" s="636">
        <f t="shared" si="50"/>
        <v>76447</v>
      </c>
      <c r="Y125" s="636">
        <f t="shared" si="50"/>
        <v>80237</v>
      </c>
    </row>
    <row r="126" spans="1:25" s="106" customFormat="1" ht="14.25">
      <c r="A126" s="121" t="s">
        <v>322</v>
      </c>
      <c r="B126" s="107">
        <f aca="true" t="shared" si="51" ref="B126:G126">B124</f>
        <v>714</v>
      </c>
      <c r="C126" s="107">
        <f t="shared" si="51"/>
        <v>5078</v>
      </c>
      <c r="D126" s="107">
        <v>18081</v>
      </c>
      <c r="E126" s="13">
        <v>32007</v>
      </c>
      <c r="F126" s="107">
        <f t="shared" si="51"/>
        <v>10923</v>
      </c>
      <c r="G126" s="107">
        <f t="shared" si="51"/>
        <v>10924</v>
      </c>
      <c r="H126" s="107">
        <f>H124</f>
        <v>10926</v>
      </c>
      <c r="I126" s="107">
        <f>I124</f>
        <v>27426</v>
      </c>
      <c r="J126" s="107">
        <f>J124</f>
        <v>37924</v>
      </c>
      <c r="K126" s="107">
        <f>K124</f>
        <v>45927</v>
      </c>
      <c r="L126" s="107">
        <f>L124</f>
        <v>53924</v>
      </c>
      <c r="N126" s="321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</row>
    <row r="127" spans="1:25" s="106" customFormat="1" ht="14.25">
      <c r="A127" s="120" t="s">
        <v>17</v>
      </c>
      <c r="B127" s="120">
        <f aca="true" t="shared" si="52" ref="B127:G127">B123+B124-B125</f>
        <v>15182</v>
      </c>
      <c r="C127" s="120">
        <f t="shared" si="52"/>
        <v>6948</v>
      </c>
      <c r="D127" s="120">
        <v>4311</v>
      </c>
      <c r="E127" s="622">
        <v>10400</v>
      </c>
      <c r="F127" s="120">
        <f t="shared" si="52"/>
        <v>9999</v>
      </c>
      <c r="G127" s="120">
        <f t="shared" si="52"/>
        <v>9779</v>
      </c>
      <c r="H127" s="120">
        <f>H123+H124-H125</f>
        <v>9612</v>
      </c>
      <c r="I127" s="120">
        <f>I123+I124-I125</f>
        <v>9318</v>
      </c>
      <c r="J127" s="120">
        <f>J123+J124-J125</f>
        <v>9204</v>
      </c>
      <c r="K127" s="120">
        <f>K123+K124-K125</f>
        <v>8907</v>
      </c>
      <c r="L127" s="120">
        <f>L123+L124-L125</f>
        <v>8903</v>
      </c>
      <c r="N127" s="321" t="s">
        <v>103</v>
      </c>
      <c r="O127" s="322">
        <f aca="true" t="shared" si="53" ref="O127:T127">-O124+O125</f>
        <v>232331</v>
      </c>
      <c r="P127" s="322">
        <f t="shared" si="53"/>
        <v>239880</v>
      </c>
      <c r="Q127" s="322">
        <f t="shared" si="53"/>
        <v>233040</v>
      </c>
      <c r="R127" s="322">
        <f t="shared" si="53"/>
        <v>235112</v>
      </c>
      <c r="S127" s="322">
        <f t="shared" si="53"/>
        <v>233313</v>
      </c>
      <c r="T127" s="322">
        <f t="shared" si="53"/>
        <v>235975</v>
      </c>
      <c r="U127" s="322">
        <f>-U124+U125</f>
        <v>240409</v>
      </c>
      <c r="V127" s="322">
        <f>-V124+V125</f>
        <v>243937</v>
      </c>
      <c r="W127" s="322">
        <f>-W124+W125</f>
        <v>246803</v>
      </c>
      <c r="X127" s="322">
        <f>-X124+X125</f>
        <v>246895</v>
      </c>
      <c r="Y127" s="322">
        <f>-Y124+Y125</f>
        <v>253440</v>
      </c>
    </row>
    <row r="128" spans="1:25" s="106" customFormat="1" ht="14.25">
      <c r="A128" s="107" t="s">
        <v>50</v>
      </c>
      <c r="B128" s="104"/>
      <c r="C128" s="104"/>
      <c r="D128" s="104">
        <v>0</v>
      </c>
      <c r="E128" s="621">
        <v>0</v>
      </c>
      <c r="F128" s="104"/>
      <c r="G128" s="104"/>
      <c r="H128" s="104"/>
      <c r="I128" s="104"/>
      <c r="J128" s="104"/>
      <c r="K128" s="104"/>
      <c r="L128" s="104"/>
      <c r="N128" s="321" t="s">
        <v>104</v>
      </c>
      <c r="O128" s="322">
        <f aca="true" t="shared" si="54" ref="O128:T128">O127*0.03</f>
        <v>6969.929999999999</v>
      </c>
      <c r="P128" s="322">
        <f t="shared" si="54"/>
        <v>7196.4</v>
      </c>
      <c r="Q128" s="322">
        <f t="shared" si="54"/>
        <v>6991.2</v>
      </c>
      <c r="R128" s="322">
        <f t="shared" si="54"/>
        <v>7053.36</v>
      </c>
      <c r="S128" s="322">
        <f t="shared" si="54"/>
        <v>6999.389999999999</v>
      </c>
      <c r="T128" s="322">
        <f t="shared" si="54"/>
        <v>7079.25</v>
      </c>
      <c r="U128" s="322">
        <f>U127*0.03</f>
        <v>7212.2699999999995</v>
      </c>
      <c r="V128" s="322">
        <f>V127*0.03</f>
        <v>7318.11</v>
      </c>
      <c r="W128" s="322">
        <f>W127*0.03</f>
        <v>7404.09</v>
      </c>
      <c r="X128" s="322">
        <f>X127*0.03</f>
        <v>7406.849999999999</v>
      </c>
      <c r="Y128" s="322">
        <f>Y127*0.03</f>
        <v>7603.2</v>
      </c>
    </row>
    <row r="129" spans="1:25" s="106" customFormat="1" ht="14.25">
      <c r="A129" s="107" t="s">
        <v>330</v>
      </c>
      <c r="B129" s="104"/>
      <c r="C129" s="104"/>
      <c r="D129" s="104"/>
      <c r="E129" s="621"/>
      <c r="F129" s="104"/>
      <c r="G129" s="104"/>
      <c r="H129" s="104"/>
      <c r="I129" s="104"/>
      <c r="J129" s="104"/>
      <c r="K129" s="104"/>
      <c r="L129" s="104"/>
      <c r="N129" s="321" t="s">
        <v>105</v>
      </c>
      <c r="O129" s="322">
        <f aca="true" t="shared" si="55" ref="O129:T129">INT(-O124+O128+0.5)</f>
        <v>173245</v>
      </c>
      <c r="P129" s="322">
        <f t="shared" si="55"/>
        <v>182191</v>
      </c>
      <c r="Q129" s="322">
        <f t="shared" si="55"/>
        <v>179050</v>
      </c>
      <c r="R129" s="322">
        <f t="shared" si="55"/>
        <v>180203</v>
      </c>
      <c r="S129" s="322">
        <f t="shared" si="55"/>
        <v>176942</v>
      </c>
      <c r="T129" s="322">
        <f t="shared" si="55"/>
        <v>178426</v>
      </c>
      <c r="U129" s="322">
        <f>INT(-U124+U128+0.5)</f>
        <v>181718</v>
      </c>
      <c r="V129" s="322">
        <f>INT(-V124+V128+0.5)</f>
        <v>181733</v>
      </c>
      <c r="W129" s="322">
        <f>INT(-W124+W128+0.5)</f>
        <v>181444</v>
      </c>
      <c r="X129" s="322">
        <f>INT(-X124+X128+0.5)</f>
        <v>177855</v>
      </c>
      <c r="Y129" s="322">
        <f>INT(-Y124+Y128+0.5)</f>
        <v>180806</v>
      </c>
    </row>
    <row r="130" spans="1:12" s="106" customFormat="1" ht="14.25">
      <c r="A130" s="107" t="s">
        <v>253</v>
      </c>
      <c r="B130" s="104"/>
      <c r="C130" s="107">
        <v>7250</v>
      </c>
      <c r="D130" s="107">
        <v>0</v>
      </c>
      <c r="E130" s="13"/>
      <c r="F130" s="107">
        <f aca="true" t="shared" si="56" ref="F130:L130">F60</f>
        <v>0</v>
      </c>
      <c r="G130" s="107">
        <f t="shared" si="56"/>
        <v>0</v>
      </c>
      <c r="H130" s="107">
        <f t="shared" si="56"/>
        <v>0</v>
      </c>
      <c r="I130" s="107">
        <f t="shared" si="56"/>
        <v>0</v>
      </c>
      <c r="J130" s="107">
        <f t="shared" si="56"/>
        <v>0</v>
      </c>
      <c r="K130" s="107">
        <f t="shared" si="56"/>
        <v>0</v>
      </c>
      <c r="L130" s="107">
        <f t="shared" si="56"/>
        <v>0</v>
      </c>
    </row>
    <row r="131" spans="1:12" s="106" customFormat="1" ht="14.25">
      <c r="A131" s="107" t="s">
        <v>31</v>
      </c>
      <c r="B131" s="107">
        <v>5</v>
      </c>
      <c r="C131" s="107">
        <v>4</v>
      </c>
      <c r="D131" s="107">
        <v>1</v>
      </c>
      <c r="E131" s="13">
        <v>0</v>
      </c>
      <c r="F131" s="107"/>
      <c r="G131" s="107"/>
      <c r="H131" s="107"/>
      <c r="I131" s="107"/>
      <c r="J131" s="107"/>
      <c r="K131" s="107"/>
      <c r="L131" s="107"/>
    </row>
    <row r="132" spans="1:12" s="106" customFormat="1" ht="14.25">
      <c r="A132" s="107" t="s">
        <v>32</v>
      </c>
      <c r="B132" s="107">
        <v>11457</v>
      </c>
      <c r="C132" s="107">
        <v>11943</v>
      </c>
      <c r="D132" s="107">
        <v>5039</v>
      </c>
      <c r="E132" s="13">
        <v>3550</v>
      </c>
      <c r="F132" s="107">
        <f aca="true" t="shared" si="57" ref="F132:L132">F62</f>
        <v>3000</v>
      </c>
      <c r="G132" s="107">
        <f t="shared" si="57"/>
        <v>2700</v>
      </c>
      <c r="H132" s="107">
        <f t="shared" si="57"/>
        <v>2400</v>
      </c>
      <c r="I132" s="107">
        <f t="shared" si="57"/>
        <v>2000</v>
      </c>
      <c r="J132" s="107">
        <f t="shared" si="57"/>
        <v>1800</v>
      </c>
      <c r="K132" s="107">
        <f t="shared" si="57"/>
        <v>1500</v>
      </c>
      <c r="L132" s="107">
        <f t="shared" si="57"/>
        <v>1300</v>
      </c>
    </row>
    <row r="133" spans="1:12" s="106" customFormat="1" ht="14.25">
      <c r="A133" s="107" t="s">
        <v>45</v>
      </c>
      <c r="B133" s="107"/>
      <c r="C133" s="107"/>
      <c r="D133" s="107">
        <v>0</v>
      </c>
      <c r="E133" s="13">
        <v>0</v>
      </c>
      <c r="F133" s="107"/>
      <c r="G133" s="107"/>
      <c r="H133" s="107"/>
      <c r="I133" s="107"/>
      <c r="J133" s="107"/>
      <c r="K133" s="107"/>
      <c r="L133" s="107"/>
    </row>
    <row r="134" spans="1:12" s="106" customFormat="1" ht="14.25">
      <c r="A134" s="104" t="s">
        <v>44</v>
      </c>
      <c r="B134" s="104">
        <f aca="true" t="shared" si="58" ref="B134:G134">SUM(B127:B131)-B132+B133</f>
        <v>3730</v>
      </c>
      <c r="C134" s="104">
        <f t="shared" si="58"/>
        <v>2259</v>
      </c>
      <c r="D134" s="104">
        <v>-727</v>
      </c>
      <c r="E134" s="621">
        <v>6850</v>
      </c>
      <c r="F134" s="104">
        <f t="shared" si="58"/>
        <v>6999</v>
      </c>
      <c r="G134" s="104">
        <f t="shared" si="58"/>
        <v>7079</v>
      </c>
      <c r="H134" s="104">
        <f>SUM(H127:H131)-H132+H133</f>
        <v>7212</v>
      </c>
      <c r="I134" s="104">
        <f>SUM(I127:I131)-I132+I133</f>
        <v>7318</v>
      </c>
      <c r="J134" s="104">
        <f>SUM(J127:J131)-J132+J133</f>
        <v>7404</v>
      </c>
      <c r="K134" s="104">
        <f>SUM(K127:K131)-K132+K133</f>
        <v>7407</v>
      </c>
      <c r="L134" s="104">
        <f>SUM(L127:L131)-L132+L133</f>
        <v>7603</v>
      </c>
    </row>
    <row r="135" spans="1:12" s="106" customFormat="1" ht="14.25">
      <c r="A135" s="107" t="s">
        <v>46</v>
      </c>
      <c r="B135" s="107"/>
      <c r="C135" s="107"/>
      <c r="D135" s="107"/>
      <c r="E135" s="13"/>
      <c r="F135" s="107">
        <f aca="true" t="shared" si="59" ref="F135:L135">F65</f>
        <v>0</v>
      </c>
      <c r="G135" s="107">
        <f t="shared" si="59"/>
        <v>0</v>
      </c>
      <c r="H135" s="107">
        <f t="shared" si="59"/>
        <v>0</v>
      </c>
      <c r="I135" s="107">
        <f t="shared" si="59"/>
        <v>0</v>
      </c>
      <c r="J135" s="107">
        <f t="shared" si="59"/>
        <v>0</v>
      </c>
      <c r="K135" s="107">
        <f t="shared" si="59"/>
        <v>0</v>
      </c>
      <c r="L135" s="107">
        <f t="shared" si="59"/>
        <v>0</v>
      </c>
    </row>
    <row r="136" spans="1:12" s="106" customFormat="1" ht="28.5">
      <c r="A136" s="130" t="s">
        <v>331</v>
      </c>
      <c r="B136" s="107"/>
      <c r="C136" s="107"/>
      <c r="D136" s="107"/>
      <c r="E136" s="13"/>
      <c r="F136" s="107"/>
      <c r="G136" s="107"/>
      <c r="H136" s="107"/>
      <c r="I136" s="107"/>
      <c r="J136" s="107"/>
      <c r="K136" s="107"/>
      <c r="L136" s="107"/>
    </row>
    <row r="137" spans="1:12" s="106" customFormat="1" ht="28.5">
      <c r="A137" s="130" t="s">
        <v>332</v>
      </c>
      <c r="B137" s="107"/>
      <c r="C137" s="107"/>
      <c r="D137" s="107"/>
      <c r="E137" s="13"/>
      <c r="F137" s="107"/>
      <c r="G137" s="107"/>
      <c r="H137" s="107"/>
      <c r="I137" s="107"/>
      <c r="J137" s="107"/>
      <c r="K137" s="107"/>
      <c r="L137" s="107"/>
    </row>
    <row r="138" spans="1:13" ht="14.25">
      <c r="A138" s="120" t="s">
        <v>8</v>
      </c>
      <c r="B138" s="120">
        <f aca="true" t="shared" si="60" ref="B138:L138">B134-B135+B136+B137</f>
        <v>3730</v>
      </c>
      <c r="C138" s="120">
        <f t="shared" si="60"/>
        <v>2259</v>
      </c>
      <c r="D138" s="120">
        <f t="shared" si="60"/>
        <v>-727</v>
      </c>
      <c r="E138" s="622">
        <v>6850</v>
      </c>
      <c r="F138" s="120">
        <f t="shared" si="60"/>
        <v>6999</v>
      </c>
      <c r="G138" s="120">
        <f t="shared" si="60"/>
        <v>7079</v>
      </c>
      <c r="H138" s="120">
        <f t="shared" si="60"/>
        <v>7212</v>
      </c>
      <c r="I138" s="120">
        <f t="shared" si="60"/>
        <v>7318</v>
      </c>
      <c r="J138" s="120">
        <f t="shared" si="60"/>
        <v>7404</v>
      </c>
      <c r="K138" s="120">
        <f t="shared" si="60"/>
        <v>7407</v>
      </c>
      <c r="L138" s="120">
        <f t="shared" si="60"/>
        <v>7603</v>
      </c>
      <c r="M138" s="106"/>
    </row>
    <row r="139" spans="1:13" ht="14.25" hidden="1" outlineLevel="1">
      <c r="A139" s="106"/>
      <c r="B139" s="106"/>
      <c r="C139" s="106"/>
      <c r="D139" s="106"/>
      <c r="E139" s="106"/>
      <c r="F139" s="106"/>
      <c r="G139" s="106"/>
      <c r="M139" s="106"/>
    </row>
    <row r="140" spans="1:12" s="106" customFormat="1" ht="14.25" hidden="1" outlineLevel="1">
      <c r="A140" s="323" t="s">
        <v>106</v>
      </c>
      <c r="B140" s="323">
        <v>3160278.6000000006</v>
      </c>
      <c r="C140" s="323">
        <f>'I Taxi'!B$27-'I Taxi'!B$10</f>
        <v>2625498</v>
      </c>
      <c r="D140" s="323">
        <f>'I Taxi'!C$27-'I Taxi'!C$10</f>
        <v>2545375.200000003</v>
      </c>
      <c r="E140" s="323">
        <f>'I Taxi'!D$27-'I Taxi'!D$10</f>
        <v>2097610</v>
      </c>
      <c r="F140" s="323">
        <f>'I Taxi'!E$27-'I Taxi'!E$10</f>
        <v>2644715</v>
      </c>
      <c r="G140" s="323">
        <f>'I Taxi'!F$27-'I Taxi'!F$10</f>
        <v>2644715</v>
      </c>
      <c r="H140" s="323">
        <f>'I Taxi'!G$27-'I Taxi'!G$10</f>
        <v>2644715</v>
      </c>
      <c r="I140" s="323">
        <f>'I Taxi'!H$27-'I Taxi'!H$10</f>
        <v>2644715</v>
      </c>
      <c r="J140" s="323">
        <f>'I Taxi'!I$27-'I Taxi'!I$10</f>
        <v>2644715</v>
      </c>
      <c r="K140" s="323">
        <f>'I Taxi'!J$27-'I Taxi'!J$10</f>
        <v>2644715</v>
      </c>
      <c r="L140" s="323">
        <f>'I Taxi'!K$27-'I Taxi'!K$10</f>
        <v>2644715</v>
      </c>
    </row>
    <row r="141" spans="1:12" s="106" customFormat="1" ht="14.25" hidden="1" outlineLevel="1">
      <c r="A141" s="323" t="s">
        <v>107</v>
      </c>
      <c r="B141" s="323">
        <v>17076821.000000004</v>
      </c>
      <c r="C141" s="323">
        <f>'I Taxi'!B$10</f>
        <v>18593983</v>
      </c>
      <c r="D141" s="323">
        <f>'I Taxi'!C$10</f>
        <v>18635226.9</v>
      </c>
      <c r="E141" s="323">
        <f>'I Taxi'!D$10</f>
        <v>20044605</v>
      </c>
      <c r="F141" s="323">
        <f>'I Taxi'!E$10</f>
        <v>20045000</v>
      </c>
      <c r="G141" s="323">
        <f>'I Taxi'!F$10</f>
        <v>20045000</v>
      </c>
      <c r="H141" s="323">
        <f>'I Taxi'!G$10</f>
        <v>20045000</v>
      </c>
      <c r="I141" s="323">
        <f>'I Taxi'!H$10</f>
        <v>20045000</v>
      </c>
      <c r="J141" s="323">
        <f>'I Taxi'!I$10</f>
        <v>20045000</v>
      </c>
      <c r="K141" s="323">
        <f>'I Taxi'!J$10</f>
        <v>20045000</v>
      </c>
      <c r="L141" s="323">
        <f>'I Taxi'!K$10</f>
        <v>20045000</v>
      </c>
    </row>
    <row r="142" spans="1:12" s="106" customFormat="1" ht="13.5" customHeight="1" hidden="1" outlineLevel="1">
      <c r="A142" s="323" t="s">
        <v>108</v>
      </c>
      <c r="B142" s="324">
        <f aca="true" t="shared" si="61" ref="B142:G142">(B93+B125-B126+B132)*1000/B141</f>
        <v>13.60504979234718</v>
      </c>
      <c r="C142" s="324">
        <f t="shared" si="61"/>
        <v>12.98065078364329</v>
      </c>
      <c r="D142" s="324">
        <f t="shared" si="61"/>
        <v>12.596090257425308</v>
      </c>
      <c r="E142" s="324">
        <f t="shared" si="61"/>
        <v>11.804423185191228</v>
      </c>
      <c r="F142" s="324">
        <f t="shared" si="61"/>
        <v>11.68021950611125</v>
      </c>
      <c r="G142" s="324">
        <f t="shared" si="61"/>
        <v>11.813619356447992</v>
      </c>
      <c r="H142" s="324">
        <f>(H93+H125-H126+H132)*1000/H141</f>
        <v>12.035470192067848</v>
      </c>
      <c r="I142" s="324">
        <f>(I93+I125-I126+I132)*1000/I141</f>
        <v>12.212172611623846</v>
      </c>
      <c r="J142" s="324">
        <f>(J93+J125-J126+J132)*1000/J141</f>
        <v>12.355849338987278</v>
      </c>
      <c r="K142" s="324">
        <f>(K93+K125-K126+K132)*1000/K141</f>
        <v>12.361087553005737</v>
      </c>
      <c r="L142" s="324">
        <f>(L93+L125-L126+L132)*1000/L141</f>
        <v>12.688301322025442</v>
      </c>
    </row>
    <row r="143" spans="1:12" s="106" customFormat="1" ht="14.25" hidden="1" outlineLevel="1">
      <c r="A143" s="323" t="s">
        <v>62</v>
      </c>
      <c r="B143" s="325"/>
      <c r="C143" s="325">
        <f aca="true" t="shared" si="62" ref="C143:L143">C142/B142-1</f>
        <v>-0.04589465075351018</v>
      </c>
      <c r="D143" s="325">
        <f t="shared" si="62"/>
        <v>-0.02962567383004866</v>
      </c>
      <c r="E143" s="326">
        <f t="shared" si="62"/>
        <v>-0.06285022225586212</v>
      </c>
      <c r="F143" s="325">
        <f t="shared" si="62"/>
        <v>-0.010521791461677865</v>
      </c>
      <c r="G143" s="325">
        <f t="shared" si="62"/>
        <v>0.011421005424336883</v>
      </c>
      <c r="H143" s="325">
        <f t="shared" si="62"/>
        <v>0.018779243593858297</v>
      </c>
      <c r="I143" s="325">
        <f t="shared" si="62"/>
        <v>0.014681804427753464</v>
      </c>
      <c r="J143" s="325">
        <f t="shared" si="62"/>
        <v>0.011765042301046247</v>
      </c>
      <c r="K143" s="325">
        <f t="shared" si="62"/>
        <v>0.000423946090207572</v>
      </c>
      <c r="L143" s="325">
        <f t="shared" si="62"/>
        <v>0.026471276707375146</v>
      </c>
    </row>
    <row r="144" spans="1:12" s="106" customFormat="1" ht="14.25" collapsed="1">
      <c r="A144" s="4"/>
      <c r="B144" s="107"/>
      <c r="C144" s="107"/>
      <c r="D144" s="107"/>
      <c r="E144" s="107">
        <v>6850</v>
      </c>
      <c r="F144" s="107">
        <v>6999</v>
      </c>
      <c r="G144" s="107">
        <v>7079</v>
      </c>
      <c r="H144" s="107">
        <v>7212</v>
      </c>
      <c r="I144" s="107">
        <v>7318</v>
      </c>
      <c r="J144" s="107">
        <v>7404</v>
      </c>
      <c r="K144" s="107">
        <v>7407</v>
      </c>
      <c r="L144" s="107">
        <v>7603</v>
      </c>
    </row>
    <row r="145" spans="1:12" s="106" customFormat="1" ht="14.25">
      <c r="A145" s="104" t="s">
        <v>98</v>
      </c>
      <c r="B145" s="4"/>
      <c r="C145" s="4"/>
      <c r="D145" s="4"/>
      <c r="E145" s="128"/>
      <c r="F145" s="4"/>
      <c r="G145" s="4"/>
      <c r="H145" s="4"/>
      <c r="I145" s="4"/>
      <c r="J145" s="4"/>
      <c r="K145" s="4"/>
      <c r="L145" s="4"/>
    </row>
    <row r="146" spans="1:12" s="106" customFormat="1" ht="14.25">
      <c r="A146" s="104" t="s">
        <v>42</v>
      </c>
      <c r="C146" s="105"/>
      <c r="F146" s="105"/>
      <c r="G146" s="105"/>
      <c r="H146" s="105"/>
      <c r="I146" s="105"/>
      <c r="J146" s="105"/>
      <c r="K146" s="105" t="s">
        <v>343</v>
      </c>
      <c r="L146" s="105"/>
    </row>
    <row r="147" spans="1:3" s="106" customFormat="1" ht="14.25">
      <c r="A147" s="105" t="s">
        <v>114</v>
      </c>
      <c r="C147" s="105"/>
    </row>
    <row r="148" s="106" customFormat="1" ht="14.25">
      <c r="A148" s="107"/>
    </row>
    <row r="149" spans="1:12" s="106" customFormat="1" ht="14.25">
      <c r="A149" s="108"/>
      <c r="B149" s="108"/>
      <c r="C149" s="108"/>
      <c r="D149" s="109" t="s">
        <v>254</v>
      </c>
      <c r="E149" s="127"/>
      <c r="F149" s="127"/>
      <c r="G149" s="127"/>
      <c r="H149" s="127"/>
      <c r="I149" s="127"/>
      <c r="J149" s="127"/>
      <c r="K149" s="127"/>
      <c r="L149" s="127"/>
    </row>
    <row r="150" spans="1:12" s="106" customFormat="1" ht="14.25">
      <c r="A150" s="110" t="s">
        <v>37</v>
      </c>
      <c r="B150" s="108" t="s">
        <v>3</v>
      </c>
      <c r="C150" s="108" t="s">
        <v>3</v>
      </c>
      <c r="D150" s="108" t="s">
        <v>10</v>
      </c>
      <c r="E150" s="108" t="s">
        <v>111</v>
      </c>
      <c r="F150" s="108" t="s">
        <v>2</v>
      </c>
      <c r="G150" s="108" t="s">
        <v>2</v>
      </c>
      <c r="H150" s="108" t="s">
        <v>2</v>
      </c>
      <c r="I150" s="108" t="s">
        <v>2</v>
      </c>
      <c r="J150" s="108" t="s">
        <v>2</v>
      </c>
      <c r="K150" s="108" t="s">
        <v>2</v>
      </c>
      <c r="L150" s="108" t="s">
        <v>2</v>
      </c>
    </row>
    <row r="151" spans="1:12" s="106" customFormat="1" ht="14.25">
      <c r="A151" s="111"/>
      <c r="B151" s="112" t="s">
        <v>52</v>
      </c>
      <c r="C151" s="112" t="s">
        <v>53</v>
      </c>
      <c r="D151" s="112" t="s">
        <v>54</v>
      </c>
      <c r="E151" s="112" t="s">
        <v>96</v>
      </c>
      <c r="F151" s="112" t="s">
        <v>97</v>
      </c>
      <c r="G151" s="112" t="s">
        <v>112</v>
      </c>
      <c r="H151" s="112" t="s">
        <v>112</v>
      </c>
      <c r="I151" s="112" t="s">
        <v>112</v>
      </c>
      <c r="J151" s="112" t="s">
        <v>112</v>
      </c>
      <c r="K151" s="112" t="s">
        <v>112</v>
      </c>
      <c r="L151" s="112" t="s">
        <v>112</v>
      </c>
    </row>
    <row r="152" spans="1:21" s="106" customFormat="1" ht="14.25">
      <c r="A152" s="104" t="s">
        <v>5</v>
      </c>
      <c r="B152" s="107">
        <f aca="true" t="shared" si="63" ref="B152:G152">B153+B156</f>
        <v>15881</v>
      </c>
      <c r="C152" s="107">
        <f t="shared" si="63"/>
        <v>12422</v>
      </c>
      <c r="D152" s="107">
        <f t="shared" si="63"/>
        <v>10744</v>
      </c>
      <c r="E152" s="107">
        <f t="shared" si="63"/>
        <v>8394</v>
      </c>
      <c r="F152" s="107">
        <f t="shared" si="63"/>
        <v>12019</v>
      </c>
      <c r="G152" s="107">
        <f t="shared" si="63"/>
        <v>12446</v>
      </c>
      <c r="H152" s="107">
        <f>H153+H156</f>
        <v>13521</v>
      </c>
      <c r="I152" s="107">
        <f>I153+I156</f>
        <v>14225</v>
      </c>
      <c r="J152" s="107">
        <f>J153+J156</f>
        <v>15706</v>
      </c>
      <c r="K152" s="107">
        <f>K153+K156</f>
        <v>16713</v>
      </c>
      <c r="L152" s="107">
        <f>L153+L156</f>
        <v>18331</v>
      </c>
      <c r="N152" s="116"/>
      <c r="O152" s="116"/>
      <c r="P152" s="116"/>
      <c r="Q152" s="116"/>
      <c r="R152" s="116"/>
      <c r="S152" s="116"/>
      <c r="T152" s="116"/>
      <c r="U152" s="116"/>
    </row>
    <row r="153" spans="1:12" s="106" customFormat="1" ht="14.25">
      <c r="A153" s="107" t="s">
        <v>20</v>
      </c>
      <c r="B153" s="107">
        <f aca="true" t="shared" si="64" ref="B153:L153">B154</f>
        <v>13548</v>
      </c>
      <c r="C153" s="107">
        <f t="shared" si="64"/>
        <v>12097</v>
      </c>
      <c r="D153" s="107">
        <f t="shared" si="64"/>
        <v>10419</v>
      </c>
      <c r="E153" s="107">
        <f t="shared" si="64"/>
        <v>8221</v>
      </c>
      <c r="F153" s="107">
        <f t="shared" si="64"/>
        <v>11839</v>
      </c>
      <c r="G153" s="107">
        <f t="shared" si="64"/>
        <v>12263</v>
      </c>
      <c r="H153" s="107">
        <f t="shared" si="64"/>
        <v>13335</v>
      </c>
      <c r="I153" s="107">
        <f t="shared" si="64"/>
        <v>14036</v>
      </c>
      <c r="J153" s="107">
        <f t="shared" si="64"/>
        <v>15515</v>
      </c>
      <c r="K153" s="107">
        <f t="shared" si="64"/>
        <v>16518</v>
      </c>
      <c r="L153" s="107">
        <f t="shared" si="64"/>
        <v>18133</v>
      </c>
    </row>
    <row r="154" spans="1:12" s="106" customFormat="1" ht="14.25">
      <c r="A154" s="113" t="s">
        <v>0</v>
      </c>
      <c r="B154" s="107">
        <f aca="true" t="shared" si="65" ref="B154:L154">B9-B79</f>
        <v>13548</v>
      </c>
      <c r="C154" s="107">
        <f t="shared" si="65"/>
        <v>12097</v>
      </c>
      <c r="D154" s="107">
        <f t="shared" si="65"/>
        <v>10419</v>
      </c>
      <c r="E154" s="107">
        <f t="shared" si="65"/>
        <v>8221</v>
      </c>
      <c r="F154" s="107">
        <f t="shared" si="65"/>
        <v>11839</v>
      </c>
      <c r="G154" s="107">
        <f t="shared" si="65"/>
        <v>12263</v>
      </c>
      <c r="H154" s="107">
        <f t="shared" si="65"/>
        <v>13335</v>
      </c>
      <c r="I154" s="107">
        <f t="shared" si="65"/>
        <v>14036</v>
      </c>
      <c r="J154" s="107">
        <f t="shared" si="65"/>
        <v>15515</v>
      </c>
      <c r="K154" s="107">
        <f t="shared" si="65"/>
        <v>16518</v>
      </c>
      <c r="L154" s="107">
        <f t="shared" si="65"/>
        <v>18133</v>
      </c>
    </row>
    <row r="155" spans="1:12" s="106" customFormat="1" ht="14.25">
      <c r="A155" s="114" t="s">
        <v>21</v>
      </c>
      <c r="B155" s="107">
        <f aca="true" t="shared" si="66" ref="B155:L155">B10-B80</f>
        <v>1435</v>
      </c>
      <c r="C155" s="107">
        <f t="shared" si="66"/>
        <v>866</v>
      </c>
      <c r="D155" s="107">
        <f t="shared" si="66"/>
        <v>720</v>
      </c>
      <c r="E155" s="107">
        <f t="shared" si="66"/>
        <v>520</v>
      </c>
      <c r="F155" s="107">
        <f t="shared" si="66"/>
        <v>520</v>
      </c>
      <c r="G155" s="107">
        <f t="shared" si="66"/>
        <v>520</v>
      </c>
      <c r="H155" s="107">
        <f t="shared" si="66"/>
        <v>520</v>
      </c>
      <c r="I155" s="107">
        <f t="shared" si="66"/>
        <v>520</v>
      </c>
      <c r="J155" s="107">
        <f t="shared" si="66"/>
        <v>867</v>
      </c>
      <c r="K155" s="107">
        <f t="shared" si="66"/>
        <v>867</v>
      </c>
      <c r="L155" s="107">
        <f t="shared" si="66"/>
        <v>867</v>
      </c>
    </row>
    <row r="156" spans="1:12" s="106" customFormat="1" ht="16.5" customHeight="1">
      <c r="A156" s="107" t="s">
        <v>19</v>
      </c>
      <c r="B156" s="107">
        <f aca="true" t="shared" si="67" ref="B156:L156">SUM(B157:B157)</f>
        <v>2333</v>
      </c>
      <c r="C156" s="107">
        <f t="shared" si="67"/>
        <v>325</v>
      </c>
      <c r="D156" s="107">
        <f t="shared" si="67"/>
        <v>325</v>
      </c>
      <c r="E156" s="107">
        <f t="shared" si="67"/>
        <v>173</v>
      </c>
      <c r="F156" s="107">
        <f t="shared" si="67"/>
        <v>180</v>
      </c>
      <c r="G156" s="107">
        <f t="shared" si="67"/>
        <v>183</v>
      </c>
      <c r="H156" s="107">
        <f t="shared" si="67"/>
        <v>186</v>
      </c>
      <c r="I156" s="107">
        <f t="shared" si="67"/>
        <v>189</v>
      </c>
      <c r="J156" s="107">
        <f t="shared" si="67"/>
        <v>191</v>
      </c>
      <c r="K156" s="107">
        <f t="shared" si="67"/>
        <v>195</v>
      </c>
      <c r="L156" s="107">
        <f t="shared" si="67"/>
        <v>198</v>
      </c>
    </row>
    <row r="157" spans="1:15" s="106" customFormat="1" ht="14.25">
      <c r="A157" s="123" t="s">
        <v>34</v>
      </c>
      <c r="B157" s="107">
        <f aca="true" t="shared" si="68" ref="B157:L157">B12-B82</f>
        <v>2333</v>
      </c>
      <c r="C157" s="107">
        <f t="shared" si="68"/>
        <v>325</v>
      </c>
      <c r="D157" s="107">
        <f t="shared" si="68"/>
        <v>325</v>
      </c>
      <c r="E157" s="107">
        <f t="shared" si="68"/>
        <v>173</v>
      </c>
      <c r="F157" s="107">
        <f t="shared" si="68"/>
        <v>180</v>
      </c>
      <c r="G157" s="107">
        <f t="shared" si="68"/>
        <v>183</v>
      </c>
      <c r="H157" s="107">
        <f t="shared" si="68"/>
        <v>186</v>
      </c>
      <c r="I157" s="107">
        <f t="shared" si="68"/>
        <v>189</v>
      </c>
      <c r="J157" s="107">
        <f t="shared" si="68"/>
        <v>191</v>
      </c>
      <c r="K157" s="107">
        <f t="shared" si="68"/>
        <v>195</v>
      </c>
      <c r="L157" s="107">
        <f t="shared" si="68"/>
        <v>198</v>
      </c>
      <c r="O157" s="126"/>
    </row>
    <row r="158" spans="1:12" s="106" customFormat="1" ht="14.25">
      <c r="A158" s="115" t="s">
        <v>25</v>
      </c>
      <c r="B158" s="107">
        <f aca="true" t="shared" si="69" ref="B158:G158">B159+B160</f>
        <v>12661</v>
      </c>
      <c r="C158" s="107">
        <f t="shared" si="69"/>
        <v>4831</v>
      </c>
      <c r="D158" s="107">
        <f t="shared" si="69"/>
        <v>2754</v>
      </c>
      <c r="E158" s="107">
        <f t="shared" si="69"/>
        <v>2774</v>
      </c>
      <c r="F158" s="107">
        <f t="shared" si="69"/>
        <v>2338</v>
      </c>
      <c r="G158" s="107">
        <f t="shared" si="69"/>
        <v>2443</v>
      </c>
      <c r="H158" s="107">
        <f>H159+H160</f>
        <v>2545</v>
      </c>
      <c r="I158" s="107">
        <f>I159+I160</f>
        <v>2649</v>
      </c>
      <c r="J158" s="107">
        <f>J159+J160</f>
        <v>2756</v>
      </c>
      <c r="K158" s="107">
        <f>K159+K160</f>
        <v>2874</v>
      </c>
      <c r="L158" s="107">
        <f>L159+L160</f>
        <v>2976</v>
      </c>
    </row>
    <row r="159" spans="1:12" s="106" customFormat="1" ht="14.25">
      <c r="A159" s="114" t="s">
        <v>18</v>
      </c>
      <c r="B159" s="107">
        <f aca="true" t="shared" si="70" ref="B159:L159">B14-B84</f>
        <v>2153</v>
      </c>
      <c r="C159" s="107">
        <f t="shared" si="70"/>
        <v>-1131</v>
      </c>
      <c r="D159" s="107">
        <f t="shared" si="70"/>
        <v>793</v>
      </c>
      <c r="E159" s="107">
        <f t="shared" si="70"/>
        <v>612</v>
      </c>
      <c r="F159" s="107">
        <f t="shared" si="70"/>
        <v>722</v>
      </c>
      <c r="G159" s="107">
        <f t="shared" si="70"/>
        <v>786</v>
      </c>
      <c r="H159" s="107">
        <f t="shared" si="70"/>
        <v>852</v>
      </c>
      <c r="I159" s="107">
        <f t="shared" si="70"/>
        <v>919</v>
      </c>
      <c r="J159" s="107">
        <f t="shared" si="70"/>
        <v>988</v>
      </c>
      <c r="K159" s="107">
        <f t="shared" si="70"/>
        <v>1058</v>
      </c>
      <c r="L159" s="107">
        <f t="shared" si="70"/>
        <v>1130</v>
      </c>
    </row>
    <row r="160" spans="1:12" s="106" customFormat="1" ht="14.25">
      <c r="A160" s="114" t="s">
        <v>22</v>
      </c>
      <c r="B160" s="107">
        <f aca="true" t="shared" si="71" ref="B160:L160">SUM(B161:B164)</f>
        <v>10508</v>
      </c>
      <c r="C160" s="107">
        <f t="shared" si="71"/>
        <v>5962</v>
      </c>
      <c r="D160" s="107">
        <f t="shared" si="71"/>
        <v>1961</v>
      </c>
      <c r="E160" s="107">
        <f t="shared" si="71"/>
        <v>2162</v>
      </c>
      <c r="F160" s="107">
        <f t="shared" si="71"/>
        <v>1616</v>
      </c>
      <c r="G160" s="107">
        <f t="shared" si="71"/>
        <v>1657</v>
      </c>
      <c r="H160" s="107">
        <f t="shared" si="71"/>
        <v>1693</v>
      </c>
      <c r="I160" s="107">
        <f t="shared" si="71"/>
        <v>1730</v>
      </c>
      <c r="J160" s="107">
        <f t="shared" si="71"/>
        <v>1768</v>
      </c>
      <c r="K160" s="107">
        <f t="shared" si="71"/>
        <v>1816</v>
      </c>
      <c r="L160" s="107">
        <f t="shared" si="71"/>
        <v>1846</v>
      </c>
    </row>
    <row r="161" spans="1:12" s="106" customFormat="1" ht="14.25">
      <c r="A161" s="123" t="s">
        <v>38</v>
      </c>
      <c r="B161" s="107">
        <f aca="true" t="shared" si="72" ref="B161:L161">B16-B86</f>
        <v>0</v>
      </c>
      <c r="C161" s="107">
        <f t="shared" si="72"/>
        <v>0</v>
      </c>
      <c r="D161" s="107">
        <f t="shared" si="72"/>
        <v>0</v>
      </c>
      <c r="E161" s="107">
        <f t="shared" si="72"/>
        <v>0</v>
      </c>
      <c r="F161" s="107">
        <f t="shared" si="72"/>
        <v>0</v>
      </c>
      <c r="G161" s="107">
        <f t="shared" si="72"/>
        <v>0</v>
      </c>
      <c r="H161" s="107">
        <f t="shared" si="72"/>
        <v>0</v>
      </c>
      <c r="I161" s="107">
        <f t="shared" si="72"/>
        <v>0</v>
      </c>
      <c r="J161" s="107">
        <f t="shared" si="72"/>
        <v>0</v>
      </c>
      <c r="K161" s="107">
        <f t="shared" si="72"/>
        <v>0</v>
      </c>
      <c r="L161" s="107">
        <f t="shared" si="72"/>
        <v>0</v>
      </c>
    </row>
    <row r="162" spans="1:12" s="106" customFormat="1" ht="14.25">
      <c r="A162" s="123" t="s">
        <v>33</v>
      </c>
      <c r="B162" s="107">
        <f aca="true" t="shared" si="73" ref="B162:L162">B17-B87</f>
        <v>2775</v>
      </c>
      <c r="C162" s="107">
        <f t="shared" si="73"/>
        <v>84</v>
      </c>
      <c r="D162" s="107">
        <f t="shared" si="73"/>
        <v>148</v>
      </c>
      <c r="E162" s="107">
        <f t="shared" si="73"/>
        <v>240</v>
      </c>
      <c r="F162" s="107">
        <f t="shared" si="73"/>
        <v>0</v>
      </c>
      <c r="G162" s="107">
        <f t="shared" si="73"/>
        <v>0</v>
      </c>
      <c r="H162" s="107">
        <f t="shared" si="73"/>
        <v>0</v>
      </c>
      <c r="I162" s="107">
        <f t="shared" si="73"/>
        <v>0</v>
      </c>
      <c r="J162" s="107">
        <f t="shared" si="73"/>
        <v>0</v>
      </c>
      <c r="K162" s="107">
        <f t="shared" si="73"/>
        <v>0</v>
      </c>
      <c r="L162" s="107">
        <f t="shared" si="73"/>
        <v>0</v>
      </c>
    </row>
    <row r="163" spans="1:12" s="106" customFormat="1" ht="14.25">
      <c r="A163" s="123" t="s">
        <v>35</v>
      </c>
      <c r="B163" s="107">
        <f aca="true" t="shared" si="74" ref="B163:L163">B18-B88</f>
        <v>233</v>
      </c>
      <c r="C163" s="107">
        <f t="shared" si="74"/>
        <v>55</v>
      </c>
      <c r="D163" s="107">
        <f t="shared" si="74"/>
        <v>0</v>
      </c>
      <c r="E163" s="107">
        <f t="shared" si="74"/>
        <v>1047</v>
      </c>
      <c r="F163" s="107">
        <f t="shared" si="74"/>
        <v>900</v>
      </c>
      <c r="G163" s="107">
        <f t="shared" si="74"/>
        <v>950</v>
      </c>
      <c r="H163" s="107">
        <f t="shared" si="74"/>
        <v>971</v>
      </c>
      <c r="I163" s="107">
        <f t="shared" si="74"/>
        <v>992</v>
      </c>
      <c r="J163" s="107">
        <f t="shared" si="74"/>
        <v>1014</v>
      </c>
      <c r="K163" s="107">
        <f t="shared" si="74"/>
        <v>1036</v>
      </c>
      <c r="L163" s="107">
        <f t="shared" si="74"/>
        <v>1059</v>
      </c>
    </row>
    <row r="164" spans="1:12" s="106" customFormat="1" ht="14.25">
      <c r="A164" s="123" t="s">
        <v>1</v>
      </c>
      <c r="B164" s="107">
        <f aca="true" t="shared" si="75" ref="B164:L164">B19-B89</f>
        <v>7500</v>
      </c>
      <c r="C164" s="107">
        <f t="shared" si="75"/>
        <v>5823</v>
      </c>
      <c r="D164" s="107">
        <f t="shared" si="75"/>
        <v>1813</v>
      </c>
      <c r="E164" s="107">
        <f t="shared" si="75"/>
        <v>875</v>
      </c>
      <c r="F164" s="107">
        <f t="shared" si="75"/>
        <v>716</v>
      </c>
      <c r="G164" s="107">
        <f t="shared" si="75"/>
        <v>707</v>
      </c>
      <c r="H164" s="107">
        <f t="shared" si="75"/>
        <v>722</v>
      </c>
      <c r="I164" s="107">
        <f t="shared" si="75"/>
        <v>738</v>
      </c>
      <c r="J164" s="107">
        <f t="shared" si="75"/>
        <v>754</v>
      </c>
      <c r="K164" s="107">
        <f t="shared" si="75"/>
        <v>780</v>
      </c>
      <c r="L164" s="107">
        <f t="shared" si="75"/>
        <v>787</v>
      </c>
    </row>
    <row r="165" spans="1:12" s="106" customFormat="1" ht="14.25">
      <c r="A165" s="107" t="s">
        <v>24</v>
      </c>
      <c r="B165" s="107">
        <f aca="true" t="shared" si="76" ref="B165:L165">B20-B90</f>
        <v>0</v>
      </c>
      <c r="C165" s="107">
        <f t="shared" si="76"/>
        <v>0</v>
      </c>
      <c r="D165" s="107">
        <f t="shared" si="76"/>
        <v>0</v>
      </c>
      <c r="E165" s="107">
        <f t="shared" si="76"/>
        <v>0</v>
      </c>
      <c r="F165" s="107">
        <f t="shared" si="76"/>
        <v>0</v>
      </c>
      <c r="G165" s="107">
        <f t="shared" si="76"/>
        <v>0</v>
      </c>
      <c r="H165" s="107">
        <f t="shared" si="76"/>
        <v>0</v>
      </c>
      <c r="I165" s="107">
        <f t="shared" si="76"/>
        <v>0</v>
      </c>
      <c r="J165" s="107">
        <f t="shared" si="76"/>
        <v>0</v>
      </c>
      <c r="K165" s="107">
        <f t="shared" si="76"/>
        <v>0</v>
      </c>
      <c r="L165" s="107">
        <f t="shared" si="76"/>
        <v>0</v>
      </c>
    </row>
    <row r="166" spans="1:12" s="106" customFormat="1" ht="14.25">
      <c r="A166" s="120" t="s">
        <v>13</v>
      </c>
      <c r="B166" s="120">
        <f aca="true" t="shared" si="77" ref="B166:L166">B152+B158+B165</f>
        <v>28542</v>
      </c>
      <c r="C166" s="120">
        <f t="shared" si="77"/>
        <v>17253</v>
      </c>
      <c r="D166" s="120">
        <f t="shared" si="77"/>
        <v>13498</v>
      </c>
      <c r="E166" s="120">
        <f t="shared" si="77"/>
        <v>11168</v>
      </c>
      <c r="F166" s="120">
        <f t="shared" si="77"/>
        <v>14357</v>
      </c>
      <c r="G166" s="120">
        <f t="shared" si="77"/>
        <v>14889</v>
      </c>
      <c r="H166" s="120">
        <f t="shared" si="77"/>
        <v>16066</v>
      </c>
      <c r="I166" s="120">
        <f t="shared" si="77"/>
        <v>16874</v>
      </c>
      <c r="J166" s="120">
        <f t="shared" si="77"/>
        <v>18462</v>
      </c>
      <c r="K166" s="120">
        <f t="shared" si="77"/>
        <v>19587</v>
      </c>
      <c r="L166" s="120">
        <f t="shared" si="77"/>
        <v>21307</v>
      </c>
    </row>
    <row r="167" spans="1:12" s="106" customFormat="1" ht="14.2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12" s="106" customFormat="1" ht="14.25">
      <c r="A168" s="120" t="s">
        <v>6</v>
      </c>
      <c r="B168" s="120">
        <f>B169+SUM(B172:B175)+SUM(B189:B192)+B197</f>
        <v>34763</v>
      </c>
      <c r="C168" s="120">
        <f>C169+SUM(C172:C175)+SUM(C189:C192)+C197</f>
        <v>22143</v>
      </c>
      <c r="D168" s="120">
        <f>D169+SUM(D172:D175)+SUM(D189:D190)+D192+D197</f>
        <v>21743</v>
      </c>
      <c r="E168" s="120">
        <f>E169+SUM(E172:E175)+SUM(E189:E192)+E197</f>
        <v>22371</v>
      </c>
      <c r="F168" s="120">
        <f>F169+SUM(F172:F175)+SUM(F189:F192)+F197</f>
        <v>20312</v>
      </c>
      <c r="G168" s="120">
        <f aca="true" t="shared" si="78" ref="G168:L168">G169+SUM(G172:G175)+SUM(G189:G192)+G197</f>
        <v>20516</v>
      </c>
      <c r="H168" s="120">
        <f t="shared" si="78"/>
        <v>20812</v>
      </c>
      <c r="I168" s="120">
        <f t="shared" si="78"/>
        <v>21036</v>
      </c>
      <c r="J168" s="120">
        <f t="shared" si="78"/>
        <v>21240</v>
      </c>
      <c r="K168" s="120">
        <f t="shared" si="78"/>
        <v>21838</v>
      </c>
      <c r="L168" s="120">
        <f t="shared" si="78"/>
        <v>22258</v>
      </c>
    </row>
    <row r="169" spans="1:12" s="106" customFormat="1" ht="14.25">
      <c r="A169" s="121" t="s">
        <v>26</v>
      </c>
      <c r="B169" s="107">
        <f aca="true" t="shared" si="79" ref="B169:G169">B170+B171</f>
        <v>1622</v>
      </c>
      <c r="C169" s="107">
        <f t="shared" si="79"/>
        <v>932</v>
      </c>
      <c r="D169" s="107">
        <f t="shared" si="79"/>
        <v>843</v>
      </c>
      <c r="E169" s="107">
        <f t="shared" si="79"/>
        <v>1271</v>
      </c>
      <c r="F169" s="107">
        <f t="shared" si="79"/>
        <v>1160</v>
      </c>
      <c r="G169" s="107">
        <f t="shared" si="79"/>
        <v>1186</v>
      </c>
      <c r="H169" s="107">
        <f>H170+H171</f>
        <v>1212</v>
      </c>
      <c r="I169" s="107">
        <f>I170+I171</f>
        <v>1238</v>
      </c>
      <c r="J169" s="107">
        <f>J170+J171</f>
        <v>1266</v>
      </c>
      <c r="K169" s="107">
        <f>K170+K171</f>
        <v>1293</v>
      </c>
      <c r="L169" s="107">
        <f>L170+L171</f>
        <v>1322</v>
      </c>
    </row>
    <row r="170" spans="1:12" s="106" customFormat="1" ht="14.25">
      <c r="A170" s="114" t="s">
        <v>23</v>
      </c>
      <c r="B170" s="107">
        <f aca="true" t="shared" si="80" ref="B170:L171">B25-B95</f>
        <v>1622</v>
      </c>
      <c r="C170" s="107">
        <f t="shared" si="80"/>
        <v>932</v>
      </c>
      <c r="D170" s="107">
        <f t="shared" si="80"/>
        <v>843</v>
      </c>
      <c r="E170" s="107">
        <f t="shared" si="80"/>
        <v>1204</v>
      </c>
      <c r="F170" s="107">
        <f t="shared" si="80"/>
        <v>1160</v>
      </c>
      <c r="G170" s="107">
        <f t="shared" si="80"/>
        <v>1186</v>
      </c>
      <c r="H170" s="107">
        <f t="shared" si="80"/>
        <v>1212</v>
      </c>
      <c r="I170" s="107">
        <f t="shared" si="80"/>
        <v>1238</v>
      </c>
      <c r="J170" s="107">
        <f t="shared" si="80"/>
        <v>1266</v>
      </c>
      <c r="K170" s="107">
        <f t="shared" si="80"/>
        <v>1293</v>
      </c>
      <c r="L170" s="107">
        <f t="shared" si="80"/>
        <v>1322</v>
      </c>
    </row>
    <row r="171" spans="1:12" s="106" customFormat="1" ht="14.25">
      <c r="A171" s="114" t="s">
        <v>22</v>
      </c>
      <c r="B171" s="107"/>
      <c r="C171" s="107"/>
      <c r="D171" s="107"/>
      <c r="E171" s="107">
        <f t="shared" si="80"/>
        <v>67</v>
      </c>
      <c r="F171" s="107"/>
      <c r="G171" s="107"/>
      <c r="H171" s="107"/>
      <c r="I171" s="107"/>
      <c r="J171" s="107"/>
      <c r="K171" s="107"/>
      <c r="L171" s="107"/>
    </row>
    <row r="172" spans="1:12" s="106" customFormat="1" ht="14.25">
      <c r="A172" s="121" t="s">
        <v>27</v>
      </c>
      <c r="B172" s="107">
        <f aca="true" t="shared" si="81" ref="B172:L172">B27-B97</f>
        <v>1807</v>
      </c>
      <c r="C172" s="107">
        <f t="shared" si="81"/>
        <v>1115</v>
      </c>
      <c r="D172" s="107">
        <f t="shared" si="81"/>
        <v>983</v>
      </c>
      <c r="E172" s="107">
        <f t="shared" si="81"/>
        <v>1149</v>
      </c>
      <c r="F172" s="107">
        <f t="shared" si="81"/>
        <v>1172</v>
      </c>
      <c r="G172" s="107">
        <f t="shared" si="81"/>
        <v>1219</v>
      </c>
      <c r="H172" s="107">
        <f t="shared" si="81"/>
        <v>1262</v>
      </c>
      <c r="I172" s="107">
        <f t="shared" si="81"/>
        <v>1308</v>
      </c>
      <c r="J172" s="107">
        <f t="shared" si="81"/>
        <v>1364</v>
      </c>
      <c r="K172" s="107">
        <f t="shared" si="81"/>
        <v>1414</v>
      </c>
      <c r="L172" s="107">
        <f t="shared" si="81"/>
        <v>1465</v>
      </c>
    </row>
    <row r="173" spans="1:12" s="106" customFormat="1" ht="14.25">
      <c r="A173" s="121" t="s">
        <v>29</v>
      </c>
      <c r="B173" s="107">
        <f aca="true" t="shared" si="82" ref="B173:L173">B28-B98</f>
        <v>3390</v>
      </c>
      <c r="C173" s="107">
        <f t="shared" si="82"/>
        <v>3979</v>
      </c>
      <c r="D173" s="107">
        <f t="shared" si="82"/>
        <v>4853</v>
      </c>
      <c r="E173" s="107">
        <f t="shared" si="82"/>
        <v>4515</v>
      </c>
      <c r="F173" s="107">
        <f t="shared" si="82"/>
        <v>6481</v>
      </c>
      <c r="G173" s="107">
        <f t="shared" si="82"/>
        <v>6694</v>
      </c>
      <c r="H173" s="107">
        <f t="shared" si="82"/>
        <v>6889</v>
      </c>
      <c r="I173" s="107">
        <f t="shared" si="82"/>
        <v>6649</v>
      </c>
      <c r="J173" s="107">
        <f t="shared" si="82"/>
        <v>6644</v>
      </c>
      <c r="K173" s="107">
        <f t="shared" si="82"/>
        <v>6820</v>
      </c>
      <c r="L173" s="107">
        <f t="shared" si="82"/>
        <v>6782</v>
      </c>
    </row>
    <row r="174" spans="1:12" s="106" customFormat="1" ht="14.25">
      <c r="A174" s="121" t="s">
        <v>28</v>
      </c>
      <c r="B174" s="107">
        <f aca="true" t="shared" si="83" ref="B174:L174">B29-B99</f>
        <v>104</v>
      </c>
      <c r="C174" s="107">
        <f t="shared" si="83"/>
        <v>73</v>
      </c>
      <c r="D174" s="107">
        <f t="shared" si="83"/>
        <v>60</v>
      </c>
      <c r="E174" s="107">
        <f t="shared" si="83"/>
        <v>6</v>
      </c>
      <c r="F174" s="107">
        <f t="shared" si="83"/>
        <v>7</v>
      </c>
      <c r="G174" s="107">
        <f t="shared" si="83"/>
        <v>7</v>
      </c>
      <c r="H174" s="107">
        <f t="shared" si="83"/>
        <v>7</v>
      </c>
      <c r="I174" s="107">
        <f t="shared" si="83"/>
        <v>7</v>
      </c>
      <c r="J174" s="107">
        <f t="shared" si="83"/>
        <v>8</v>
      </c>
      <c r="K174" s="107">
        <f t="shared" si="83"/>
        <v>8</v>
      </c>
      <c r="L174" s="107">
        <f t="shared" si="83"/>
        <v>8</v>
      </c>
    </row>
    <row r="175" spans="1:12" s="106" customFormat="1" ht="14.25">
      <c r="A175" s="121" t="s">
        <v>30</v>
      </c>
      <c r="B175" s="107">
        <f aca="true" t="shared" si="84" ref="B175:G175">B176+B183</f>
        <v>9825</v>
      </c>
      <c r="C175" s="107">
        <f t="shared" si="84"/>
        <v>7280</v>
      </c>
      <c r="D175" s="107">
        <f t="shared" si="84"/>
        <v>5942</v>
      </c>
      <c r="E175" s="107">
        <f t="shared" si="84"/>
        <v>5653</v>
      </c>
      <c r="F175" s="107">
        <f t="shared" si="84"/>
        <v>5782</v>
      </c>
      <c r="G175" s="107">
        <f t="shared" si="84"/>
        <v>5794</v>
      </c>
      <c r="H175" s="107">
        <f>H176+H183</f>
        <v>5825</v>
      </c>
      <c r="I175" s="107">
        <f>I176+I183</f>
        <v>5933</v>
      </c>
      <c r="J175" s="107">
        <f>J176+J183</f>
        <v>6010</v>
      </c>
      <c r="K175" s="107">
        <f>K176+K183</f>
        <v>6097</v>
      </c>
      <c r="L175" s="107">
        <f>L176+L183</f>
        <v>6184</v>
      </c>
    </row>
    <row r="176" spans="1:12" s="106" customFormat="1" ht="14.25">
      <c r="A176" s="114" t="s">
        <v>23</v>
      </c>
      <c r="B176" s="107">
        <f aca="true" t="shared" si="85" ref="B176:G176">SUM(B177:B182)</f>
        <v>8255</v>
      </c>
      <c r="C176" s="107">
        <f t="shared" si="85"/>
        <v>5931</v>
      </c>
      <c r="D176" s="107">
        <f t="shared" si="85"/>
        <v>5197</v>
      </c>
      <c r="E176" s="107">
        <f t="shared" si="85"/>
        <v>5465</v>
      </c>
      <c r="F176" s="107">
        <f t="shared" si="85"/>
        <v>5626</v>
      </c>
      <c r="G176" s="107">
        <f t="shared" si="85"/>
        <v>5635</v>
      </c>
      <c r="H176" s="107">
        <f>SUM(H177:H182)</f>
        <v>5664</v>
      </c>
      <c r="I176" s="107">
        <f>SUM(I177:I182)</f>
        <v>5769</v>
      </c>
      <c r="J176" s="107">
        <f>SUM(J177:J182)</f>
        <v>5844</v>
      </c>
      <c r="K176" s="107">
        <f>SUM(K177:K182)</f>
        <v>5928</v>
      </c>
      <c r="L176" s="107">
        <f>SUM(L177:L182)</f>
        <v>6013</v>
      </c>
    </row>
    <row r="177" spans="1:12" s="106" customFormat="1" ht="14.25">
      <c r="A177" s="123" t="s">
        <v>36</v>
      </c>
      <c r="B177" s="107">
        <f aca="true" t="shared" si="86" ref="B177:L177">B32-B102</f>
        <v>-68</v>
      </c>
      <c r="C177" s="107">
        <f t="shared" si="86"/>
        <v>-145</v>
      </c>
      <c r="D177" s="107">
        <f t="shared" si="86"/>
        <v>755</v>
      </c>
      <c r="E177" s="107">
        <f t="shared" si="86"/>
        <v>1801</v>
      </c>
      <c r="F177" s="107">
        <f t="shared" si="86"/>
        <v>1033</v>
      </c>
      <c r="G177" s="107">
        <f t="shared" si="86"/>
        <v>1035</v>
      </c>
      <c r="H177" s="107">
        <f t="shared" si="86"/>
        <v>1057</v>
      </c>
      <c r="I177" s="107">
        <f t="shared" si="86"/>
        <v>1155</v>
      </c>
      <c r="J177" s="107">
        <f t="shared" si="86"/>
        <v>1223</v>
      </c>
      <c r="K177" s="107">
        <f t="shared" si="86"/>
        <v>1300</v>
      </c>
      <c r="L177" s="107">
        <f t="shared" si="86"/>
        <v>1377</v>
      </c>
    </row>
    <row r="178" spans="1:12" s="106" customFormat="1" ht="14.25">
      <c r="A178" s="123" t="s">
        <v>40</v>
      </c>
      <c r="B178" s="107">
        <f aca="true" t="shared" si="87" ref="B178:L178">B33-B103</f>
        <v>7841</v>
      </c>
      <c r="C178" s="107">
        <f t="shared" si="87"/>
        <v>5191</v>
      </c>
      <c r="D178" s="107">
        <f t="shared" si="87"/>
        <v>4016</v>
      </c>
      <c r="E178" s="107">
        <f t="shared" si="87"/>
        <v>3412</v>
      </c>
      <c r="F178" s="107">
        <f t="shared" si="87"/>
        <v>4284</v>
      </c>
      <c r="G178" s="107">
        <f t="shared" si="87"/>
        <v>4284</v>
      </c>
      <c r="H178" s="107">
        <f t="shared" si="87"/>
        <v>4284</v>
      </c>
      <c r="I178" s="107">
        <f t="shared" si="87"/>
        <v>4284</v>
      </c>
      <c r="J178" s="107">
        <f t="shared" si="87"/>
        <v>4284</v>
      </c>
      <c r="K178" s="107">
        <f t="shared" si="87"/>
        <v>4284</v>
      </c>
      <c r="L178" s="107">
        <f t="shared" si="87"/>
        <v>4284</v>
      </c>
    </row>
    <row r="179" spans="1:12" s="106" customFormat="1" ht="14.25">
      <c r="A179" s="123" t="s">
        <v>39</v>
      </c>
      <c r="B179" s="107">
        <f aca="true" t="shared" si="88" ref="B179:L179">B34-B104</f>
        <v>482</v>
      </c>
      <c r="C179" s="107">
        <f t="shared" si="88"/>
        <v>885</v>
      </c>
      <c r="D179" s="107">
        <f t="shared" si="88"/>
        <v>426</v>
      </c>
      <c r="E179" s="107">
        <f t="shared" si="88"/>
        <v>252</v>
      </c>
      <c r="F179" s="107">
        <f t="shared" si="88"/>
        <v>0</v>
      </c>
      <c r="G179" s="107">
        <f t="shared" si="88"/>
        <v>0</v>
      </c>
      <c r="H179" s="107">
        <f t="shared" si="88"/>
        <v>0</v>
      </c>
      <c r="I179" s="107">
        <f t="shared" si="88"/>
        <v>0</v>
      </c>
      <c r="J179" s="107">
        <f t="shared" si="88"/>
        <v>0</v>
      </c>
      <c r="K179" s="107">
        <f t="shared" si="88"/>
        <v>0</v>
      </c>
      <c r="L179" s="107">
        <f t="shared" si="88"/>
        <v>0</v>
      </c>
    </row>
    <row r="180" spans="1:12" s="106" customFormat="1" ht="14.25">
      <c r="A180" s="442" t="s">
        <v>596</v>
      </c>
      <c r="B180" s="107"/>
      <c r="C180" s="107"/>
      <c r="D180" s="107"/>
      <c r="E180" s="107"/>
      <c r="F180" s="107">
        <f aca="true" t="shared" si="89" ref="F180:L180">F35-F105</f>
        <v>128</v>
      </c>
      <c r="G180" s="107">
        <f t="shared" si="89"/>
        <v>131</v>
      </c>
      <c r="H180" s="107">
        <f t="shared" si="89"/>
        <v>134</v>
      </c>
      <c r="I180" s="107">
        <f t="shared" si="89"/>
        <v>137</v>
      </c>
      <c r="J180" s="107">
        <f t="shared" si="89"/>
        <v>140</v>
      </c>
      <c r="K180" s="107">
        <f t="shared" si="89"/>
        <v>143</v>
      </c>
      <c r="L180" s="107">
        <f t="shared" si="89"/>
        <v>146</v>
      </c>
    </row>
    <row r="181" spans="1:12" s="106" customFormat="1" ht="14.25">
      <c r="A181" s="442" t="s">
        <v>597</v>
      </c>
      <c r="B181" s="107"/>
      <c r="C181" s="107"/>
      <c r="D181" s="107"/>
      <c r="E181" s="107"/>
      <c r="F181" s="107">
        <f aca="true" t="shared" si="90" ref="F181:L181">F36-F106</f>
        <v>181</v>
      </c>
      <c r="G181" s="107">
        <f t="shared" si="90"/>
        <v>185</v>
      </c>
      <c r="H181" s="107">
        <f t="shared" si="90"/>
        <v>189</v>
      </c>
      <c r="I181" s="107">
        <f t="shared" si="90"/>
        <v>193</v>
      </c>
      <c r="J181" s="107">
        <f t="shared" si="90"/>
        <v>197</v>
      </c>
      <c r="K181" s="107">
        <f t="shared" si="90"/>
        <v>201</v>
      </c>
      <c r="L181" s="107">
        <f t="shared" si="90"/>
        <v>206</v>
      </c>
    </row>
    <row r="182" spans="1:12" s="106" customFormat="1" ht="14.25">
      <c r="A182" s="123" t="s">
        <v>43</v>
      </c>
      <c r="B182" s="107">
        <f aca="true" t="shared" si="91" ref="B182:L182">B37-B107</f>
        <v>0</v>
      </c>
      <c r="C182" s="107">
        <f t="shared" si="91"/>
        <v>0</v>
      </c>
      <c r="D182" s="107">
        <f t="shared" si="91"/>
        <v>0</v>
      </c>
      <c r="E182" s="107">
        <f t="shared" si="91"/>
        <v>0</v>
      </c>
      <c r="F182" s="107">
        <f t="shared" si="91"/>
        <v>0</v>
      </c>
      <c r="G182" s="107">
        <f t="shared" si="91"/>
        <v>0</v>
      </c>
      <c r="H182" s="107">
        <f t="shared" si="91"/>
        <v>0</v>
      </c>
      <c r="I182" s="107">
        <f t="shared" si="91"/>
        <v>0</v>
      </c>
      <c r="J182" s="107">
        <f t="shared" si="91"/>
        <v>0</v>
      </c>
      <c r="K182" s="107">
        <f t="shared" si="91"/>
        <v>0</v>
      </c>
      <c r="L182" s="107">
        <f t="shared" si="91"/>
        <v>0</v>
      </c>
    </row>
    <row r="183" spans="1:12" s="106" customFormat="1" ht="14.25">
      <c r="A183" s="114" t="s">
        <v>22</v>
      </c>
      <c r="B183" s="107">
        <f aca="true" t="shared" si="92" ref="B183:G183">SUM(B184:B188)</f>
        <v>1570</v>
      </c>
      <c r="C183" s="107">
        <f t="shared" si="92"/>
        <v>1349</v>
      </c>
      <c r="D183" s="107">
        <f t="shared" si="92"/>
        <v>745</v>
      </c>
      <c r="E183" s="107">
        <f t="shared" si="92"/>
        <v>188</v>
      </c>
      <c r="F183" s="107">
        <f t="shared" si="92"/>
        <v>156</v>
      </c>
      <c r="G183" s="107">
        <f t="shared" si="92"/>
        <v>159</v>
      </c>
      <c r="H183" s="107">
        <f>SUM(H184:H188)</f>
        <v>161</v>
      </c>
      <c r="I183" s="107">
        <f>SUM(I184:I188)</f>
        <v>164</v>
      </c>
      <c r="J183" s="107">
        <f>SUM(J184:J188)</f>
        <v>166</v>
      </c>
      <c r="K183" s="107">
        <f>SUM(K184:K188)</f>
        <v>169</v>
      </c>
      <c r="L183" s="107">
        <f>SUM(L184:L188)</f>
        <v>171</v>
      </c>
    </row>
    <row r="184" spans="1:12" s="106" customFormat="1" ht="14.25">
      <c r="A184" s="123" t="s">
        <v>38</v>
      </c>
      <c r="B184" s="107">
        <f aca="true" t="shared" si="93" ref="B184:L184">B39-B109</f>
        <v>84</v>
      </c>
      <c r="C184" s="107">
        <f t="shared" si="93"/>
        <v>255</v>
      </c>
      <c r="D184" s="107">
        <f t="shared" si="93"/>
        <v>52</v>
      </c>
      <c r="E184" s="107">
        <f t="shared" si="93"/>
        <v>16</v>
      </c>
      <c r="F184" s="107">
        <f t="shared" si="93"/>
        <v>0</v>
      </c>
      <c r="G184" s="107">
        <f t="shared" si="93"/>
        <v>0</v>
      </c>
      <c r="H184" s="107">
        <f t="shared" si="93"/>
        <v>0</v>
      </c>
      <c r="I184" s="107">
        <f t="shared" si="93"/>
        <v>0</v>
      </c>
      <c r="J184" s="107">
        <f t="shared" si="93"/>
        <v>0</v>
      </c>
      <c r="K184" s="107">
        <f t="shared" si="93"/>
        <v>0</v>
      </c>
      <c r="L184" s="107">
        <f t="shared" si="93"/>
        <v>0</v>
      </c>
    </row>
    <row r="185" spans="1:12" s="106" customFormat="1" ht="14.25">
      <c r="A185" s="123" t="s">
        <v>33</v>
      </c>
      <c r="B185" s="107">
        <f aca="true" t="shared" si="94" ref="B185:L185">B40-B110</f>
        <v>123</v>
      </c>
      <c r="C185" s="107">
        <f t="shared" si="94"/>
        <v>71</v>
      </c>
      <c r="D185" s="107">
        <f t="shared" si="94"/>
        <v>11</v>
      </c>
      <c r="E185" s="107">
        <f t="shared" si="94"/>
        <v>24</v>
      </c>
      <c r="F185" s="107">
        <f t="shared" si="94"/>
        <v>10</v>
      </c>
      <c r="G185" s="107">
        <f t="shared" si="94"/>
        <v>10</v>
      </c>
      <c r="H185" s="107">
        <f t="shared" si="94"/>
        <v>10</v>
      </c>
      <c r="I185" s="107">
        <f t="shared" si="94"/>
        <v>10</v>
      </c>
      <c r="J185" s="107">
        <f t="shared" si="94"/>
        <v>10</v>
      </c>
      <c r="K185" s="107">
        <f t="shared" si="94"/>
        <v>10</v>
      </c>
      <c r="L185" s="107">
        <f t="shared" si="94"/>
        <v>10</v>
      </c>
    </row>
    <row r="186" spans="1:12" s="106" customFormat="1" ht="14.25">
      <c r="A186" s="123" t="s">
        <v>35</v>
      </c>
      <c r="B186" s="107">
        <f aca="true" t="shared" si="95" ref="B186:L186">B41-B111</f>
        <v>0</v>
      </c>
      <c r="C186" s="107">
        <f t="shared" si="95"/>
        <v>0</v>
      </c>
      <c r="D186" s="107">
        <f t="shared" si="95"/>
        <v>0</v>
      </c>
      <c r="E186" s="107">
        <f t="shared" si="95"/>
        <v>0</v>
      </c>
      <c r="F186" s="107">
        <f t="shared" si="95"/>
        <v>0</v>
      </c>
      <c r="G186" s="107">
        <f t="shared" si="95"/>
        <v>0</v>
      </c>
      <c r="H186" s="107">
        <f t="shared" si="95"/>
        <v>0</v>
      </c>
      <c r="I186" s="107">
        <f t="shared" si="95"/>
        <v>0</v>
      </c>
      <c r="J186" s="107">
        <f t="shared" si="95"/>
        <v>0</v>
      </c>
      <c r="K186" s="107">
        <f t="shared" si="95"/>
        <v>0</v>
      </c>
      <c r="L186" s="107">
        <f t="shared" si="95"/>
        <v>0</v>
      </c>
    </row>
    <row r="187" spans="1:21" s="106" customFormat="1" ht="14.25">
      <c r="A187" s="123" t="s">
        <v>1</v>
      </c>
      <c r="B187" s="107">
        <f aca="true" t="shared" si="96" ref="B187:L187">B42-B112</f>
        <v>1363</v>
      </c>
      <c r="C187" s="107">
        <f t="shared" si="96"/>
        <v>1023</v>
      </c>
      <c r="D187" s="107">
        <f t="shared" si="96"/>
        <v>2355</v>
      </c>
      <c r="E187" s="107">
        <f t="shared" si="96"/>
        <v>72</v>
      </c>
      <c r="F187" s="107">
        <f t="shared" si="96"/>
        <v>40</v>
      </c>
      <c r="G187" s="107">
        <f t="shared" si="96"/>
        <v>40</v>
      </c>
      <c r="H187" s="107">
        <f t="shared" si="96"/>
        <v>40</v>
      </c>
      <c r="I187" s="107">
        <f t="shared" si="96"/>
        <v>40</v>
      </c>
      <c r="J187" s="107">
        <f t="shared" si="96"/>
        <v>40</v>
      </c>
      <c r="K187" s="107">
        <f t="shared" si="96"/>
        <v>40</v>
      </c>
      <c r="L187" s="107">
        <f t="shared" si="96"/>
        <v>40</v>
      </c>
      <c r="Q187" s="107"/>
      <c r="R187" s="107"/>
      <c r="S187" s="107"/>
      <c r="T187" s="107"/>
      <c r="U187" s="107"/>
    </row>
    <row r="188" spans="1:12" s="106" customFormat="1" ht="14.25">
      <c r="A188" s="616" t="s">
        <v>367</v>
      </c>
      <c r="B188" s="107">
        <f aca="true" t="shared" si="97" ref="B188:L188">B43-B113</f>
        <v>0</v>
      </c>
      <c r="C188" s="107">
        <f t="shared" si="97"/>
        <v>0</v>
      </c>
      <c r="D188" s="107">
        <f t="shared" si="97"/>
        <v>-1673</v>
      </c>
      <c r="E188" s="107">
        <f t="shared" si="97"/>
        <v>76</v>
      </c>
      <c r="F188" s="107">
        <f t="shared" si="97"/>
        <v>106</v>
      </c>
      <c r="G188" s="107">
        <f t="shared" si="97"/>
        <v>109</v>
      </c>
      <c r="H188" s="107">
        <f t="shared" si="97"/>
        <v>111</v>
      </c>
      <c r="I188" s="107">
        <f t="shared" si="97"/>
        <v>114</v>
      </c>
      <c r="J188" s="107">
        <f t="shared" si="97"/>
        <v>116</v>
      </c>
      <c r="K188" s="107">
        <f t="shared" si="97"/>
        <v>119</v>
      </c>
      <c r="L188" s="107">
        <f t="shared" si="97"/>
        <v>121</v>
      </c>
    </row>
    <row r="189" spans="1:12" s="106" customFormat="1" ht="14.25">
      <c r="A189" s="123" t="s">
        <v>14</v>
      </c>
      <c r="B189" s="107">
        <f aca="true" t="shared" si="98" ref="B189:L189">B44-B114</f>
        <v>9735</v>
      </c>
      <c r="C189" s="107">
        <f t="shared" si="98"/>
        <v>6480</v>
      </c>
      <c r="D189" s="107">
        <f t="shared" si="98"/>
        <v>6288</v>
      </c>
      <c r="E189" s="107">
        <f t="shared" si="98"/>
        <v>5850</v>
      </c>
      <c r="F189" s="107">
        <f t="shared" si="98"/>
        <v>3595</v>
      </c>
      <c r="G189" s="107">
        <f t="shared" si="98"/>
        <v>3573</v>
      </c>
      <c r="H189" s="107">
        <f t="shared" si="98"/>
        <v>3553</v>
      </c>
      <c r="I189" s="107">
        <f t="shared" si="98"/>
        <v>3686</v>
      </c>
      <c r="J189" s="107">
        <f t="shared" si="98"/>
        <v>3790</v>
      </c>
      <c r="K189" s="107">
        <f t="shared" si="98"/>
        <v>3957</v>
      </c>
      <c r="L189" s="107">
        <f t="shared" si="98"/>
        <v>4154</v>
      </c>
    </row>
    <row r="190" spans="1:21" s="106" customFormat="1" ht="14.25">
      <c r="A190" s="123" t="s">
        <v>15</v>
      </c>
      <c r="B190" s="107">
        <f aca="true" t="shared" si="99" ref="B190:L191">B45-B115</f>
        <v>2952</v>
      </c>
      <c r="C190" s="107">
        <f t="shared" si="99"/>
        <v>1881</v>
      </c>
      <c r="D190" s="107">
        <f t="shared" si="99"/>
        <v>1900</v>
      </c>
      <c r="E190" s="107">
        <f t="shared" si="99"/>
        <v>1761</v>
      </c>
      <c r="F190" s="107">
        <f t="shared" si="99"/>
        <v>1076</v>
      </c>
      <c r="G190" s="107">
        <f t="shared" si="99"/>
        <v>1067</v>
      </c>
      <c r="H190" s="107">
        <f t="shared" si="99"/>
        <v>1059</v>
      </c>
      <c r="I190" s="107">
        <f t="shared" si="99"/>
        <v>1099</v>
      </c>
      <c r="J190" s="107">
        <f t="shared" si="99"/>
        <v>1130</v>
      </c>
      <c r="K190" s="107">
        <f t="shared" si="99"/>
        <v>1181</v>
      </c>
      <c r="L190" s="107">
        <f t="shared" si="99"/>
        <v>1240</v>
      </c>
      <c r="Q190" s="107"/>
      <c r="R190" s="107"/>
      <c r="S190" s="107"/>
      <c r="T190" s="107"/>
      <c r="U190" s="107"/>
    </row>
    <row r="191" spans="1:21" s="106" customFormat="1" ht="14.25">
      <c r="A191" s="442" t="s">
        <v>635</v>
      </c>
      <c r="B191" s="107"/>
      <c r="C191" s="107"/>
      <c r="D191" s="107">
        <f t="shared" si="99"/>
        <v>0</v>
      </c>
      <c r="E191" s="107">
        <f t="shared" si="99"/>
        <v>72</v>
      </c>
      <c r="F191" s="107">
        <f t="shared" si="99"/>
        <v>60</v>
      </c>
      <c r="G191" s="107">
        <f t="shared" si="99"/>
        <v>62</v>
      </c>
      <c r="H191" s="107">
        <f t="shared" si="99"/>
        <v>64</v>
      </c>
      <c r="I191" s="107">
        <f t="shared" si="99"/>
        <v>66</v>
      </c>
      <c r="J191" s="107">
        <f t="shared" si="99"/>
        <v>67</v>
      </c>
      <c r="K191" s="107">
        <f t="shared" si="99"/>
        <v>70</v>
      </c>
      <c r="L191" s="107">
        <f t="shared" si="99"/>
        <v>72</v>
      </c>
      <c r="Q191" s="107"/>
      <c r="R191" s="107"/>
      <c r="S191" s="107"/>
      <c r="T191" s="107"/>
      <c r="U191" s="107"/>
    </row>
    <row r="192" spans="1:12" s="106" customFormat="1" ht="14.25">
      <c r="A192" s="123" t="s">
        <v>7</v>
      </c>
      <c r="B192" s="107">
        <f aca="true" t="shared" si="100" ref="B192:G192">B193+B194</f>
        <v>5566</v>
      </c>
      <c r="C192" s="107">
        <f t="shared" si="100"/>
        <v>913</v>
      </c>
      <c r="D192" s="107">
        <f t="shared" si="100"/>
        <v>1292</v>
      </c>
      <c r="E192" s="107">
        <f t="shared" si="100"/>
        <v>2534</v>
      </c>
      <c r="F192" s="107">
        <f t="shared" si="100"/>
        <v>1209</v>
      </c>
      <c r="G192" s="107">
        <f t="shared" si="100"/>
        <v>1235</v>
      </c>
      <c r="H192" s="107">
        <f>H193+H194</f>
        <v>1263</v>
      </c>
      <c r="I192" s="107">
        <f>I193+I194</f>
        <v>1290</v>
      </c>
      <c r="J192" s="107">
        <f>J193+J194</f>
        <v>1319</v>
      </c>
      <c r="K192" s="107">
        <f>K193+K194</f>
        <v>1348</v>
      </c>
      <c r="L192" s="107">
        <f>L193+L194</f>
        <v>1377</v>
      </c>
    </row>
    <row r="193" spans="1:12" s="106" customFormat="1" ht="14.25">
      <c r="A193" s="114" t="s">
        <v>23</v>
      </c>
      <c r="B193" s="107">
        <f aca="true" t="shared" si="101" ref="B193:L193">B48-B118</f>
        <v>5566</v>
      </c>
      <c r="C193" s="107">
        <f t="shared" si="101"/>
        <v>913</v>
      </c>
      <c r="D193" s="107">
        <f t="shared" si="101"/>
        <v>979</v>
      </c>
      <c r="E193" s="107">
        <f t="shared" si="101"/>
        <v>2534</v>
      </c>
      <c r="F193" s="107">
        <f t="shared" si="101"/>
        <v>1209</v>
      </c>
      <c r="G193" s="107">
        <f t="shared" si="101"/>
        <v>1235</v>
      </c>
      <c r="H193" s="107">
        <f t="shared" si="101"/>
        <v>1263</v>
      </c>
      <c r="I193" s="107">
        <f t="shared" si="101"/>
        <v>1290</v>
      </c>
      <c r="J193" s="107">
        <f t="shared" si="101"/>
        <v>1319</v>
      </c>
      <c r="K193" s="107">
        <f t="shared" si="101"/>
        <v>1348</v>
      </c>
      <c r="L193" s="107">
        <f t="shared" si="101"/>
        <v>1377</v>
      </c>
    </row>
    <row r="194" spans="1:12" s="106" customFormat="1" ht="14.25">
      <c r="A194" s="114" t="s">
        <v>22</v>
      </c>
      <c r="B194" s="107">
        <f>B49-B119</f>
        <v>0</v>
      </c>
      <c r="C194" s="107"/>
      <c r="D194" s="107">
        <f>D49-D119</f>
        <v>313</v>
      </c>
      <c r="E194" s="107"/>
      <c r="F194" s="107"/>
      <c r="G194" s="107"/>
      <c r="H194" s="107"/>
      <c r="I194" s="107"/>
      <c r="J194" s="107"/>
      <c r="K194" s="107"/>
      <c r="L194" s="107"/>
    </row>
    <row r="195" spans="1:12" s="106" customFormat="1" ht="14.25">
      <c r="A195" s="123" t="s">
        <v>47</v>
      </c>
      <c r="B195" s="107"/>
      <c r="C195" s="107"/>
      <c r="D195" s="107">
        <f>D50-D120</f>
        <v>313</v>
      </c>
      <c r="E195" s="107"/>
      <c r="F195" s="107"/>
      <c r="G195" s="107"/>
      <c r="H195" s="107"/>
      <c r="I195" s="107"/>
      <c r="J195" s="107"/>
      <c r="K195" s="107"/>
      <c r="L195" s="107"/>
    </row>
    <row r="196" spans="1:12" s="106" customFormat="1" ht="14.25">
      <c r="A196" s="123" t="s">
        <v>1</v>
      </c>
      <c r="B196" s="107"/>
      <c r="C196" s="107"/>
      <c r="D196" s="107">
        <f>D51-D121</f>
        <v>0</v>
      </c>
      <c r="E196" s="107"/>
      <c r="F196" s="107"/>
      <c r="G196" s="107"/>
      <c r="H196" s="107"/>
      <c r="I196" s="107"/>
      <c r="J196" s="107"/>
      <c r="K196" s="107"/>
      <c r="L196" s="107"/>
    </row>
    <row r="197" spans="1:12" s="106" customFormat="1" ht="14.25">
      <c r="A197" s="123" t="s">
        <v>11</v>
      </c>
      <c r="B197" s="107">
        <f aca="true" t="shared" si="102" ref="B197:L197">B52-B122</f>
        <v>-238</v>
      </c>
      <c r="C197" s="107">
        <f t="shared" si="102"/>
        <v>-510</v>
      </c>
      <c r="D197" s="107">
        <f t="shared" si="102"/>
        <v>-418</v>
      </c>
      <c r="E197" s="107">
        <f t="shared" si="102"/>
        <v>-440</v>
      </c>
      <c r="F197" s="107">
        <f t="shared" si="102"/>
        <v>-230</v>
      </c>
      <c r="G197" s="107">
        <f t="shared" si="102"/>
        <v>-321</v>
      </c>
      <c r="H197" s="107">
        <f t="shared" si="102"/>
        <v>-322</v>
      </c>
      <c r="I197" s="107">
        <f t="shared" si="102"/>
        <v>-240</v>
      </c>
      <c r="J197" s="107">
        <f t="shared" si="102"/>
        <v>-358</v>
      </c>
      <c r="K197" s="107">
        <f t="shared" si="102"/>
        <v>-350</v>
      </c>
      <c r="L197" s="107">
        <f t="shared" si="102"/>
        <v>-346</v>
      </c>
    </row>
    <row r="198" spans="1:12" s="106" customFormat="1" ht="14.25">
      <c r="A198" s="120" t="s">
        <v>16</v>
      </c>
      <c r="B198" s="120">
        <f aca="true" t="shared" si="103" ref="B198:G198">B166-B168</f>
        <v>-6221</v>
      </c>
      <c r="C198" s="120">
        <f t="shared" si="103"/>
        <v>-4890</v>
      </c>
      <c r="D198" s="120">
        <f t="shared" si="103"/>
        <v>-8245</v>
      </c>
      <c r="E198" s="120">
        <f t="shared" si="103"/>
        <v>-11203</v>
      </c>
      <c r="F198" s="120">
        <f t="shared" si="103"/>
        <v>-5955</v>
      </c>
      <c r="G198" s="120">
        <f t="shared" si="103"/>
        <v>-5627</v>
      </c>
      <c r="H198" s="120">
        <f>H166-H168</f>
        <v>-4746</v>
      </c>
      <c r="I198" s="120">
        <f>I166-I168</f>
        <v>-4162</v>
      </c>
      <c r="J198" s="120">
        <f>J166-J168</f>
        <v>-2778</v>
      </c>
      <c r="K198" s="120">
        <f>K166-K168</f>
        <v>-2251</v>
      </c>
      <c r="L198" s="120">
        <f>L166-L168</f>
        <v>-951</v>
      </c>
    </row>
    <row r="199" spans="1:12" s="106" customFormat="1" ht="14.25">
      <c r="A199" s="121" t="s">
        <v>321</v>
      </c>
      <c r="B199" s="107">
        <f aca="true" t="shared" si="104" ref="B199:L199">B54-B124</f>
        <v>0</v>
      </c>
      <c r="C199" s="107">
        <f t="shared" si="104"/>
        <v>170</v>
      </c>
      <c r="D199" s="107">
        <f t="shared" si="104"/>
        <v>1</v>
      </c>
      <c r="E199" s="107">
        <f t="shared" si="104"/>
        <v>96</v>
      </c>
      <c r="F199" s="107">
        <f t="shared" si="104"/>
        <v>25</v>
      </c>
      <c r="G199" s="107">
        <f t="shared" si="104"/>
        <v>25</v>
      </c>
      <c r="H199" s="107">
        <f t="shared" si="104"/>
        <v>25</v>
      </c>
      <c r="I199" s="107">
        <f t="shared" si="104"/>
        <v>25</v>
      </c>
      <c r="J199" s="107">
        <f t="shared" si="104"/>
        <v>25</v>
      </c>
      <c r="K199" s="107">
        <f t="shared" si="104"/>
        <v>25</v>
      </c>
      <c r="L199" s="107">
        <f t="shared" si="104"/>
        <v>25</v>
      </c>
    </row>
    <row r="200" spans="1:12" s="106" customFormat="1" ht="14.25">
      <c r="A200" s="121" t="s">
        <v>252</v>
      </c>
      <c r="B200" s="107">
        <f aca="true" t="shared" si="105" ref="B200:L200">B55-B125</f>
        <v>4053</v>
      </c>
      <c r="C200" s="107">
        <f t="shared" si="105"/>
        <v>3166</v>
      </c>
      <c r="D200" s="107">
        <f t="shared" si="105"/>
        <v>3045</v>
      </c>
      <c r="E200" s="107">
        <f t="shared" si="105"/>
        <v>2594</v>
      </c>
      <c r="F200" s="107">
        <f t="shared" si="105"/>
        <v>1781</v>
      </c>
      <c r="G200" s="107">
        <f t="shared" si="105"/>
        <v>1858</v>
      </c>
      <c r="H200" s="107">
        <f t="shared" si="105"/>
        <v>1939</v>
      </c>
      <c r="I200" s="107">
        <f t="shared" si="105"/>
        <v>2527</v>
      </c>
      <c r="J200" s="107">
        <f t="shared" si="105"/>
        <v>2933</v>
      </c>
      <c r="K200" s="107">
        <f t="shared" si="105"/>
        <v>3046</v>
      </c>
      <c r="L200" s="107">
        <f t="shared" si="105"/>
        <v>3365</v>
      </c>
    </row>
    <row r="201" spans="1:12" s="106" customFormat="1" ht="14.25">
      <c r="A201" s="121" t="s">
        <v>322</v>
      </c>
      <c r="B201" s="107">
        <f aca="true" t="shared" si="106" ref="B201:L201">B56-B126</f>
        <v>0</v>
      </c>
      <c r="C201" s="107">
        <f t="shared" si="106"/>
        <v>170</v>
      </c>
      <c r="D201" s="107">
        <f t="shared" si="106"/>
        <v>1</v>
      </c>
      <c r="E201" s="107">
        <f t="shared" si="106"/>
        <v>96</v>
      </c>
      <c r="F201" s="107">
        <f t="shared" si="106"/>
        <v>25</v>
      </c>
      <c r="G201" s="107">
        <f t="shared" si="106"/>
        <v>25</v>
      </c>
      <c r="H201" s="107">
        <f t="shared" si="106"/>
        <v>25</v>
      </c>
      <c r="I201" s="107">
        <f t="shared" si="106"/>
        <v>25</v>
      </c>
      <c r="J201" s="107">
        <f t="shared" si="106"/>
        <v>25</v>
      </c>
      <c r="K201" s="107">
        <f t="shared" si="106"/>
        <v>25</v>
      </c>
      <c r="L201" s="107">
        <f t="shared" si="106"/>
        <v>25</v>
      </c>
    </row>
    <row r="202" spans="1:12" s="106" customFormat="1" ht="14.25">
      <c r="A202" s="120" t="s">
        <v>17</v>
      </c>
      <c r="B202" s="120">
        <f aca="true" t="shared" si="107" ref="B202:G202">B198+B199-B200</f>
        <v>-10274</v>
      </c>
      <c r="C202" s="120">
        <f t="shared" si="107"/>
        <v>-7886</v>
      </c>
      <c r="D202" s="120">
        <f t="shared" si="107"/>
        <v>-11289</v>
      </c>
      <c r="E202" s="120">
        <f t="shared" si="107"/>
        <v>-13701</v>
      </c>
      <c r="F202" s="120">
        <f t="shared" si="107"/>
        <v>-7711</v>
      </c>
      <c r="G202" s="120">
        <f t="shared" si="107"/>
        <v>-7460</v>
      </c>
      <c r="H202" s="120">
        <f>H198+H199-H200</f>
        <v>-6660</v>
      </c>
      <c r="I202" s="120">
        <f>I198+I199-I200</f>
        <v>-6664</v>
      </c>
      <c r="J202" s="120">
        <f>J198+J199-J200</f>
        <v>-5686</v>
      </c>
      <c r="K202" s="120">
        <f>K198+K199-K200</f>
        <v>-5272</v>
      </c>
      <c r="L202" s="120">
        <f>L198+L199-L200</f>
        <v>-4291</v>
      </c>
    </row>
    <row r="203" spans="1:12" s="106" customFormat="1" ht="14.25">
      <c r="A203" s="107" t="s">
        <v>50</v>
      </c>
      <c r="B203" s="107">
        <f aca="true" t="shared" si="108" ref="B203:L203">B58-B128</f>
        <v>16951</v>
      </c>
      <c r="C203" s="107">
        <f t="shared" si="108"/>
        <v>1785</v>
      </c>
      <c r="D203" s="107">
        <f t="shared" si="108"/>
        <v>916</v>
      </c>
      <c r="E203" s="107">
        <f t="shared" si="108"/>
        <v>5655</v>
      </c>
      <c r="F203" s="107">
        <f t="shared" si="108"/>
        <v>9147</v>
      </c>
      <c r="G203" s="107">
        <f t="shared" si="108"/>
        <v>5700</v>
      </c>
      <c r="H203" s="107">
        <f t="shared" si="108"/>
        <v>6210</v>
      </c>
      <c r="I203" s="107">
        <f t="shared" si="108"/>
        <v>6269</v>
      </c>
      <c r="J203" s="107">
        <f t="shared" si="108"/>
        <v>3935</v>
      </c>
      <c r="K203" s="107">
        <f t="shared" si="108"/>
        <v>2874</v>
      </c>
      <c r="L203" s="107">
        <f t="shared" si="108"/>
        <v>2048</v>
      </c>
    </row>
    <row r="204" spans="1:12" s="106" customFormat="1" ht="14.25">
      <c r="A204" s="107" t="s">
        <v>330</v>
      </c>
      <c r="B204" s="107">
        <f aca="true" t="shared" si="109" ref="B204:L204">B59-B129</f>
        <v>-9335</v>
      </c>
      <c r="C204" s="107">
        <f t="shared" si="109"/>
        <v>-1774</v>
      </c>
      <c r="D204" s="107">
        <f t="shared" si="109"/>
        <v>-77</v>
      </c>
      <c r="E204" s="107">
        <f t="shared" si="109"/>
        <v>-1755</v>
      </c>
      <c r="F204" s="107">
        <f t="shared" si="109"/>
        <v>-2118</v>
      </c>
      <c r="G204" s="107">
        <f t="shared" si="109"/>
        <v>-1476</v>
      </c>
      <c r="H204" s="107">
        <f t="shared" si="109"/>
        <v>-775</v>
      </c>
      <c r="I204" s="107">
        <f t="shared" si="109"/>
        <v>-946</v>
      </c>
      <c r="J204" s="107">
        <f t="shared" si="109"/>
        <v>-455</v>
      </c>
      <c r="K204" s="107">
        <f t="shared" si="109"/>
        <v>-385</v>
      </c>
      <c r="L204" s="107">
        <f t="shared" si="109"/>
        <v>-175</v>
      </c>
    </row>
    <row r="205" spans="1:12" ht="14.25">
      <c r="A205" s="107" t="s">
        <v>253</v>
      </c>
      <c r="B205" s="107">
        <f aca="true" t="shared" si="110" ref="B205:L205">B60-B130</f>
        <v>0</v>
      </c>
      <c r="C205" s="107">
        <f t="shared" si="110"/>
        <v>0</v>
      </c>
      <c r="D205" s="107">
        <f t="shared" si="110"/>
        <v>0</v>
      </c>
      <c r="E205" s="107">
        <f t="shared" si="110"/>
        <v>0</v>
      </c>
      <c r="F205" s="107">
        <f t="shared" si="110"/>
        <v>0</v>
      </c>
      <c r="G205" s="107">
        <f t="shared" si="110"/>
        <v>0</v>
      </c>
      <c r="H205" s="107">
        <f t="shared" si="110"/>
        <v>0</v>
      </c>
      <c r="I205" s="107">
        <f t="shared" si="110"/>
        <v>0</v>
      </c>
      <c r="J205" s="107">
        <f t="shared" si="110"/>
        <v>0</v>
      </c>
      <c r="K205" s="107">
        <f t="shared" si="110"/>
        <v>0</v>
      </c>
      <c r="L205" s="107">
        <f t="shared" si="110"/>
        <v>0</v>
      </c>
    </row>
    <row r="206" spans="1:12" ht="14.25">
      <c r="A206" s="107" t="s">
        <v>31</v>
      </c>
      <c r="B206" s="107">
        <f aca="true" t="shared" si="111" ref="B206:L206">B61-B131</f>
        <v>126</v>
      </c>
      <c r="C206" s="107">
        <f t="shared" si="111"/>
        <v>13</v>
      </c>
      <c r="D206" s="107">
        <f t="shared" si="111"/>
        <v>382</v>
      </c>
      <c r="E206" s="107">
        <f t="shared" si="111"/>
        <v>457</v>
      </c>
      <c r="F206" s="107">
        <f t="shared" si="111"/>
        <v>401</v>
      </c>
      <c r="G206" s="107">
        <f t="shared" si="111"/>
        <v>358</v>
      </c>
      <c r="H206" s="107">
        <f t="shared" si="111"/>
        <v>314</v>
      </c>
      <c r="I206" s="107">
        <f t="shared" si="111"/>
        <v>271</v>
      </c>
      <c r="J206" s="107">
        <f t="shared" si="111"/>
        <v>228</v>
      </c>
      <c r="K206" s="107">
        <f t="shared" si="111"/>
        <v>184</v>
      </c>
      <c r="L206" s="107">
        <f t="shared" si="111"/>
        <v>141</v>
      </c>
    </row>
    <row r="207" spans="1:12" ht="14.25">
      <c r="A207" s="107" t="s">
        <v>32</v>
      </c>
      <c r="B207" s="107">
        <f aca="true" t="shared" si="112" ref="B207:L207">B62-B132</f>
        <v>141</v>
      </c>
      <c r="C207" s="107">
        <f t="shared" si="112"/>
        <v>391</v>
      </c>
      <c r="D207" s="107">
        <f t="shared" si="112"/>
        <v>106</v>
      </c>
      <c r="E207" s="107">
        <f t="shared" si="112"/>
        <v>0</v>
      </c>
      <c r="F207" s="107">
        <f t="shared" si="112"/>
        <v>0</v>
      </c>
      <c r="G207" s="107">
        <f t="shared" si="112"/>
        <v>0</v>
      </c>
      <c r="H207" s="107">
        <f t="shared" si="112"/>
        <v>0</v>
      </c>
      <c r="I207" s="107">
        <f t="shared" si="112"/>
        <v>0</v>
      </c>
      <c r="J207" s="107">
        <f t="shared" si="112"/>
        <v>0</v>
      </c>
      <c r="K207" s="107">
        <f t="shared" si="112"/>
        <v>0</v>
      </c>
      <c r="L207" s="107">
        <f t="shared" si="112"/>
        <v>0</v>
      </c>
    </row>
    <row r="208" spans="1:12" ht="14.25">
      <c r="A208" s="107" t="s">
        <v>45</v>
      </c>
      <c r="B208" s="107">
        <f aca="true" t="shared" si="113" ref="B208:L208">B63-B133</f>
        <v>0</v>
      </c>
      <c r="C208" s="107">
        <f t="shared" si="113"/>
        <v>0</v>
      </c>
      <c r="D208" s="107">
        <f t="shared" si="113"/>
        <v>0</v>
      </c>
      <c r="E208" s="107">
        <f t="shared" si="113"/>
        <v>0</v>
      </c>
      <c r="F208" s="107">
        <f t="shared" si="113"/>
        <v>0</v>
      </c>
      <c r="G208" s="107">
        <f t="shared" si="113"/>
        <v>0</v>
      </c>
      <c r="H208" s="107">
        <f t="shared" si="113"/>
        <v>0</v>
      </c>
      <c r="I208" s="107">
        <f t="shared" si="113"/>
        <v>0</v>
      </c>
      <c r="J208" s="107">
        <f t="shared" si="113"/>
        <v>0</v>
      </c>
      <c r="K208" s="107">
        <f t="shared" si="113"/>
        <v>0</v>
      </c>
      <c r="L208" s="107">
        <f t="shared" si="113"/>
        <v>0</v>
      </c>
    </row>
    <row r="209" spans="1:12" ht="14.25">
      <c r="A209" s="104" t="s">
        <v>44</v>
      </c>
      <c r="B209" s="104">
        <f aca="true" t="shared" si="114" ref="B209:G209">SUM(B202:B206)-B207+B208</f>
        <v>-2673</v>
      </c>
      <c r="C209" s="104">
        <f t="shared" si="114"/>
        <v>-8253</v>
      </c>
      <c r="D209" s="104">
        <f t="shared" si="114"/>
        <v>-10174</v>
      </c>
      <c r="E209" s="104">
        <f t="shared" si="114"/>
        <v>-9344</v>
      </c>
      <c r="F209" s="104">
        <f t="shared" si="114"/>
        <v>-281</v>
      </c>
      <c r="G209" s="104">
        <f t="shared" si="114"/>
        <v>-2878</v>
      </c>
      <c r="H209" s="104">
        <f>SUM(H202:H206)-H207+H208</f>
        <v>-911</v>
      </c>
      <c r="I209" s="104">
        <f>SUM(I202:I206)-I207+I208</f>
        <v>-1070</v>
      </c>
      <c r="J209" s="104">
        <f>SUM(J202:J206)-J207+J208</f>
        <v>-1978</v>
      </c>
      <c r="K209" s="104">
        <f>SUM(K202:K206)-K207+K208</f>
        <v>-2599</v>
      </c>
      <c r="L209" s="104">
        <f>SUM(L202:L206)-L207+L208</f>
        <v>-2277</v>
      </c>
    </row>
    <row r="210" spans="1:12" ht="14.25">
      <c r="A210" s="107" t="s">
        <v>46</v>
      </c>
      <c r="B210" s="107">
        <f aca="true" t="shared" si="115" ref="B210:L210">B65-B135</f>
        <v>-570</v>
      </c>
      <c r="C210" s="107">
        <f t="shared" si="115"/>
        <v>6509</v>
      </c>
      <c r="D210" s="107">
        <f t="shared" si="115"/>
        <v>4366</v>
      </c>
      <c r="E210" s="107">
        <f t="shared" si="115"/>
        <v>0</v>
      </c>
      <c r="F210" s="107">
        <f t="shared" si="115"/>
        <v>0</v>
      </c>
      <c r="G210" s="107">
        <f t="shared" si="115"/>
        <v>0</v>
      </c>
      <c r="H210" s="107">
        <f t="shared" si="115"/>
        <v>0</v>
      </c>
      <c r="I210" s="107">
        <f t="shared" si="115"/>
        <v>0</v>
      </c>
      <c r="J210" s="107">
        <f t="shared" si="115"/>
        <v>0</v>
      </c>
      <c r="K210" s="107">
        <f t="shared" si="115"/>
        <v>0</v>
      </c>
      <c r="L210" s="107">
        <f t="shared" si="115"/>
        <v>0</v>
      </c>
    </row>
    <row r="211" spans="1:12" ht="28.5">
      <c r="A211" s="130" t="s">
        <v>331</v>
      </c>
      <c r="B211" s="107">
        <f aca="true" t="shared" si="116" ref="B211:L211">B66-B136</f>
        <v>0</v>
      </c>
      <c r="C211" s="107">
        <f t="shared" si="116"/>
        <v>143</v>
      </c>
      <c r="D211" s="107">
        <f t="shared" si="116"/>
        <v>0</v>
      </c>
      <c r="E211" s="107">
        <f t="shared" si="116"/>
        <v>3200</v>
      </c>
      <c r="F211" s="107">
        <f t="shared" si="116"/>
        <v>0</v>
      </c>
      <c r="G211" s="107">
        <f t="shared" si="116"/>
        <v>0</v>
      </c>
      <c r="H211" s="107">
        <f t="shared" si="116"/>
        <v>0</v>
      </c>
      <c r="I211" s="107">
        <f t="shared" si="116"/>
        <v>0</v>
      </c>
      <c r="J211" s="107">
        <f t="shared" si="116"/>
        <v>0</v>
      </c>
      <c r="K211" s="107">
        <f t="shared" si="116"/>
        <v>0</v>
      </c>
      <c r="L211" s="107">
        <f t="shared" si="116"/>
        <v>0</v>
      </c>
    </row>
    <row r="212" spans="1:12" ht="28.5">
      <c r="A212" s="130" t="s">
        <v>332</v>
      </c>
      <c r="B212" s="107">
        <f aca="true" t="shared" si="117" ref="B212:L212">B67-B137</f>
        <v>0</v>
      </c>
      <c r="C212" s="107">
        <f t="shared" si="117"/>
        <v>-4</v>
      </c>
      <c r="D212" s="107">
        <f t="shared" si="117"/>
        <v>0</v>
      </c>
      <c r="E212" s="107">
        <f t="shared" si="117"/>
        <v>-17</v>
      </c>
      <c r="F212" s="107">
        <f t="shared" si="117"/>
        <v>0</v>
      </c>
      <c r="G212" s="107">
        <f t="shared" si="117"/>
        <v>0</v>
      </c>
      <c r="H212" s="107">
        <f t="shared" si="117"/>
        <v>0</v>
      </c>
      <c r="I212" s="107">
        <f t="shared" si="117"/>
        <v>0</v>
      </c>
      <c r="J212" s="107">
        <f t="shared" si="117"/>
        <v>0</v>
      </c>
      <c r="K212" s="107">
        <f t="shared" si="117"/>
        <v>0</v>
      </c>
      <c r="L212" s="107">
        <f t="shared" si="117"/>
        <v>0</v>
      </c>
    </row>
    <row r="213" spans="1:12" ht="14.25">
      <c r="A213" s="120" t="s">
        <v>8</v>
      </c>
      <c r="B213" s="120">
        <f aca="true" t="shared" si="118" ref="B213:L213">B209-B210+B211+B212</f>
        <v>-2103</v>
      </c>
      <c r="C213" s="120">
        <f t="shared" si="118"/>
        <v>-14623</v>
      </c>
      <c r="D213" s="120">
        <f t="shared" si="118"/>
        <v>-14540</v>
      </c>
      <c r="E213" s="120">
        <f t="shared" si="118"/>
        <v>-6161</v>
      </c>
      <c r="F213" s="120">
        <f t="shared" si="118"/>
        <v>-281</v>
      </c>
      <c r="G213" s="120">
        <f t="shared" si="118"/>
        <v>-2878</v>
      </c>
      <c r="H213" s="120">
        <f t="shared" si="118"/>
        <v>-911</v>
      </c>
      <c r="I213" s="120">
        <f t="shared" si="118"/>
        <v>-1070</v>
      </c>
      <c r="J213" s="120">
        <f t="shared" si="118"/>
        <v>-1978</v>
      </c>
      <c r="K213" s="120">
        <f t="shared" si="118"/>
        <v>-2599</v>
      </c>
      <c r="L213" s="120">
        <f t="shared" si="118"/>
        <v>-2277</v>
      </c>
    </row>
    <row r="214" spans="8:12" ht="13.5">
      <c r="H214" s="4"/>
      <c r="I214" s="4"/>
      <c r="J214" s="4"/>
      <c r="K214" s="4"/>
      <c r="L214" s="4"/>
    </row>
    <row r="215" spans="1:12" ht="14.25" hidden="1" outlineLevel="1">
      <c r="A215" s="323" t="s">
        <v>106</v>
      </c>
      <c r="B215" s="323">
        <v>3160278.6000000006</v>
      </c>
      <c r="C215" s="323">
        <f>'I Taxi'!B$27-'I Taxi'!B$10</f>
        <v>2625498</v>
      </c>
      <c r="D215" s="323">
        <f>'I Taxi'!C$27-'I Taxi'!C$10</f>
        <v>2545375.200000003</v>
      </c>
      <c r="E215" s="323">
        <f>'I Taxi'!D$27-'I Taxi'!D$10</f>
        <v>2097610</v>
      </c>
      <c r="F215" s="323">
        <f>'I Taxi'!E$27-'I Taxi'!E$10</f>
        <v>2644715</v>
      </c>
      <c r="G215" s="323">
        <f>'I Taxi'!F$27-'I Taxi'!F$10</f>
        <v>2644715</v>
      </c>
      <c r="H215" s="323">
        <f>'I Taxi'!G$27-'I Taxi'!G$10</f>
        <v>2644715</v>
      </c>
      <c r="I215" s="323">
        <f>'I Taxi'!H$27-'I Taxi'!H$10</f>
        <v>2644715</v>
      </c>
      <c r="J215" s="323">
        <f>'I Taxi'!I$27-'I Taxi'!I$10</f>
        <v>2644715</v>
      </c>
      <c r="K215" s="323">
        <f>'I Taxi'!J$27-'I Taxi'!J$10</f>
        <v>2644715</v>
      </c>
      <c r="L215" s="323">
        <f>'I Taxi'!K$27-'I Taxi'!K$10</f>
        <v>2644715</v>
      </c>
    </row>
    <row r="216" spans="1:12" ht="14.25" hidden="1" outlineLevel="1">
      <c r="A216" s="323" t="s">
        <v>107</v>
      </c>
      <c r="B216" s="323">
        <v>17076821.000000004</v>
      </c>
      <c r="C216" s="323">
        <f>'I Taxi'!B$10</f>
        <v>18593983</v>
      </c>
      <c r="D216" s="323">
        <f>'I Taxi'!C$10</f>
        <v>18635226.9</v>
      </c>
      <c r="E216" s="323">
        <f>'I Taxi'!D$10</f>
        <v>20044605</v>
      </c>
      <c r="F216" s="323">
        <f>'I Taxi'!E$10</f>
        <v>20045000</v>
      </c>
      <c r="G216" s="323">
        <f>'I Taxi'!F$10</f>
        <v>20045000</v>
      </c>
      <c r="H216" s="323">
        <f>'I Taxi'!G$10</f>
        <v>20045000</v>
      </c>
      <c r="I216" s="323">
        <f>'I Taxi'!H$10</f>
        <v>20045000</v>
      </c>
      <c r="J216" s="323">
        <f>'I Taxi'!I$10</f>
        <v>20045000</v>
      </c>
      <c r="K216" s="323">
        <f>'I Taxi'!J$10</f>
        <v>20045000</v>
      </c>
      <c r="L216" s="323">
        <f>'I Taxi'!K$10</f>
        <v>20045000</v>
      </c>
    </row>
    <row r="217" spans="1:12" ht="14.25" hidden="1" outlineLevel="1">
      <c r="A217" s="323" t="s">
        <v>108</v>
      </c>
      <c r="B217" s="324">
        <f aca="true" t="shared" si="119" ref="B217:G217">(B168+B200-B201+B207)*1000/B215</f>
        <v>12.327077745613945</v>
      </c>
      <c r="C217" s="324">
        <f t="shared" si="119"/>
        <v>9.72386952875226</v>
      </c>
      <c r="D217" s="324">
        <f t="shared" si="119"/>
        <v>9.779697704291285</v>
      </c>
      <c r="E217" s="324">
        <f t="shared" si="119"/>
        <v>11.855874066199151</v>
      </c>
      <c r="F217" s="324">
        <f t="shared" si="119"/>
        <v>8.34418831518708</v>
      </c>
      <c r="G217" s="324">
        <f t="shared" si="119"/>
        <v>8.450437948890523</v>
      </c>
      <c r="H217" s="324">
        <f>(H168+H200-H201+H207)*1000/H215</f>
        <v>8.592986389837847</v>
      </c>
      <c r="I217" s="324">
        <f>(I168+I200-I201+I207)*1000/I215</f>
        <v>8.900013801109004</v>
      </c>
      <c r="J217" s="324">
        <f>(J168+J200-J201+J207)*1000/J215</f>
        <v>9.13066247213783</v>
      </c>
      <c r="K217" s="324">
        <f>(K168+K200-K201+K207)*1000/K215</f>
        <v>9.39950051328782</v>
      </c>
      <c r="L217" s="324">
        <f>(L168+L200-L201+L207)*1000/L215</f>
        <v>9.678925706550611</v>
      </c>
    </row>
    <row r="218" spans="1:12" ht="14.25" hidden="1" outlineLevel="1">
      <c r="A218" s="323" t="s">
        <v>62</v>
      </c>
      <c r="B218" s="325"/>
      <c r="C218" s="325">
        <f aca="true" t="shared" si="120" ref="C218:L218">C217/B217-1</f>
        <v>-0.21117804808101603</v>
      </c>
      <c r="D218" s="325">
        <f t="shared" si="120"/>
        <v>0.005741353827706908</v>
      </c>
      <c r="E218" s="325">
        <f t="shared" si="120"/>
        <v>0.21229453350044247</v>
      </c>
      <c r="F218" s="325">
        <f t="shared" si="120"/>
        <v>-0.2961979632546716</v>
      </c>
      <c r="G218" s="325">
        <f t="shared" si="120"/>
        <v>0.012733369584919219</v>
      </c>
      <c r="H218" s="325">
        <f t="shared" si="120"/>
        <v>0.01686876370307422</v>
      </c>
      <c r="I218" s="325">
        <f t="shared" si="120"/>
        <v>0.035730000880049184</v>
      </c>
      <c r="J218" s="325">
        <f t="shared" si="120"/>
        <v>0.02591554082759795</v>
      </c>
      <c r="K218" s="325">
        <f t="shared" si="120"/>
        <v>0.02944343216829548</v>
      </c>
      <c r="L218" s="325">
        <f t="shared" si="120"/>
        <v>0.02972766402510163</v>
      </c>
    </row>
    <row r="219" ht="14.25" collapsed="1"/>
    <row r="220" spans="2:7" ht="14.25">
      <c r="B220" s="317"/>
      <c r="C220" s="317"/>
      <c r="D220" s="317"/>
      <c r="E220" s="317"/>
      <c r="F220" s="317"/>
      <c r="G220" s="317"/>
    </row>
  </sheetData>
  <sheetProtection/>
  <mergeCells count="1">
    <mergeCell ref="H1:J1"/>
  </mergeCells>
  <printOptions/>
  <pageMargins left="0.7086614173228347" right="0.1968503937007874" top="0.48" bottom="0.2362204724409449" header="0.31496062992125984" footer="0.15748031496062992"/>
  <pageSetup horizontalDpi="300" verticalDpi="300" orientation="landscape" paperSize="9" scale="55" r:id="rId1"/>
  <rowBreaks count="1" manualBreakCount="1">
    <brk id="1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pane xSplit="4" ySplit="6" topLeftCell="E7" activePane="bottomRight" state="frozen"/>
      <selection pane="topLeft" activeCell="K1" sqref="K1"/>
      <selection pane="topRight" activeCell="O1" sqref="O1"/>
      <selection pane="bottomLeft" activeCell="K7" sqref="K7"/>
      <selection pane="bottomRight" activeCell="E29" sqref="E29"/>
    </sheetView>
  </sheetViews>
  <sheetFormatPr defaultColWidth="9.140625" defaultRowHeight="12.75" outlineLevelRow="1" outlineLevelCol="1"/>
  <cols>
    <col min="1" max="1" width="4.57421875" style="371" customWidth="1"/>
    <col min="2" max="2" width="4.421875" style="371" customWidth="1"/>
    <col min="3" max="3" width="33.57421875" style="371" customWidth="1"/>
    <col min="4" max="4" width="9.140625" style="371" customWidth="1"/>
    <col min="5" max="5" width="10.28125" style="371" customWidth="1" outlineLevel="1"/>
    <col min="6" max="6" width="10.00390625" style="371" customWidth="1" outlineLevel="1"/>
    <col min="7" max="8" width="10.57421875" style="371" customWidth="1" outlineLevel="1"/>
    <col min="9" max="9" width="10.57421875" style="371" customWidth="1" outlineLevel="1" collapsed="1"/>
    <col min="10" max="10" width="11.57421875" style="371" customWidth="1" outlineLevel="1"/>
    <col min="11" max="20" width="10.57421875" style="371" customWidth="1"/>
    <col min="21" max="21" width="21.421875" style="371" hidden="1" customWidth="1" outlineLevel="1"/>
    <col min="22" max="22" width="10.00390625" style="371" hidden="1" customWidth="1" outlineLevel="1"/>
    <col min="23" max="31" width="9.140625" style="371" hidden="1" customWidth="1" outlineLevel="1"/>
    <col min="32" max="32" width="9.140625" style="371" customWidth="1" collapsed="1"/>
    <col min="33" max="16384" width="9.140625" style="371" customWidth="1"/>
  </cols>
  <sheetData>
    <row r="1" spans="3:17" ht="13.5">
      <c r="C1" s="466" t="s">
        <v>55</v>
      </c>
      <c r="D1" s="467"/>
      <c r="K1" s="468"/>
      <c r="L1" s="468"/>
      <c r="Q1" s="468" t="s">
        <v>620</v>
      </c>
    </row>
    <row r="2" spans="3:4" ht="13.5">
      <c r="C2" s="466" t="s">
        <v>56</v>
      </c>
      <c r="D2" s="469"/>
    </row>
    <row r="3" spans="3:4" ht="13.5">
      <c r="C3" s="466" t="s">
        <v>335</v>
      </c>
      <c r="D3" s="469"/>
    </row>
    <row r="4" spans="2:19" ht="13.5">
      <c r="B4" s="548"/>
      <c r="C4" s="548"/>
      <c r="D4" s="549"/>
      <c r="E4" s="550"/>
      <c r="F4" s="550"/>
      <c r="G4" s="550"/>
      <c r="H4" s="551"/>
      <c r="I4" s="552"/>
      <c r="J4" s="552"/>
      <c r="K4" s="550" t="s">
        <v>504</v>
      </c>
      <c r="L4" s="551"/>
      <c r="M4" s="551"/>
      <c r="N4" s="551"/>
      <c r="O4" s="551"/>
      <c r="P4" s="551"/>
      <c r="Q4" s="551"/>
      <c r="R4" s="551"/>
      <c r="S4" s="551"/>
    </row>
    <row r="5" spans="2:19" ht="13.5">
      <c r="B5" s="551" t="s">
        <v>57</v>
      </c>
      <c r="C5" s="553" t="s">
        <v>58</v>
      </c>
      <c r="D5" s="551" t="s">
        <v>59</v>
      </c>
      <c r="E5" s="554" t="s">
        <v>3</v>
      </c>
      <c r="F5" s="554" t="s">
        <v>3</v>
      </c>
      <c r="G5" s="554" t="s">
        <v>3</v>
      </c>
      <c r="H5" s="554" t="s">
        <v>3</v>
      </c>
      <c r="I5" s="554" t="s">
        <v>3</v>
      </c>
      <c r="J5" s="554" t="s">
        <v>3</v>
      </c>
      <c r="K5" s="550" t="s">
        <v>10</v>
      </c>
      <c r="L5" s="554" t="s">
        <v>350</v>
      </c>
      <c r="M5" s="554" t="s">
        <v>60</v>
      </c>
      <c r="N5" s="554" t="s">
        <v>60</v>
      </c>
      <c r="O5" s="554" t="s">
        <v>60</v>
      </c>
      <c r="P5" s="554" t="s">
        <v>60</v>
      </c>
      <c r="Q5" s="554" t="s">
        <v>60</v>
      </c>
      <c r="R5" s="554" t="s">
        <v>60</v>
      </c>
      <c r="S5" s="554" t="s">
        <v>60</v>
      </c>
    </row>
    <row r="6" spans="2:31" ht="13.5">
      <c r="B6" s="548"/>
      <c r="C6" s="548"/>
      <c r="D6" s="548"/>
      <c r="E6" s="554" t="s">
        <v>12</v>
      </c>
      <c r="F6" s="554" t="s">
        <v>41</v>
      </c>
      <c r="G6" s="554" t="s">
        <v>61</v>
      </c>
      <c r="H6" s="554" t="s">
        <v>51</v>
      </c>
      <c r="I6" s="554" t="s">
        <v>52</v>
      </c>
      <c r="J6" s="554" t="s">
        <v>255</v>
      </c>
      <c r="K6" s="554" t="s">
        <v>54</v>
      </c>
      <c r="L6" s="554" t="s">
        <v>96</v>
      </c>
      <c r="M6" s="554" t="s">
        <v>97</v>
      </c>
      <c r="N6" s="554" t="s">
        <v>112</v>
      </c>
      <c r="O6" s="554" t="s">
        <v>337</v>
      </c>
      <c r="P6" s="554" t="s">
        <v>338</v>
      </c>
      <c r="Q6" s="554" t="s">
        <v>339</v>
      </c>
      <c r="R6" s="554" t="s">
        <v>340</v>
      </c>
      <c r="S6" s="554" t="s">
        <v>341</v>
      </c>
      <c r="U6" s="371">
        <v>2012</v>
      </c>
      <c r="V6" s="371">
        <v>2013</v>
      </c>
      <c r="W6" s="371">
        <v>2014</v>
      </c>
      <c r="X6" s="371">
        <v>2015</v>
      </c>
      <c r="Y6" s="371">
        <v>2016</v>
      </c>
      <c r="Z6" s="371">
        <v>2017</v>
      </c>
      <c r="AA6" s="371">
        <v>2018</v>
      </c>
      <c r="AB6" s="371">
        <v>2019</v>
      </c>
      <c r="AC6" s="371">
        <v>2020</v>
      </c>
      <c r="AD6" s="371">
        <v>2021</v>
      </c>
      <c r="AE6" s="371">
        <v>2022</v>
      </c>
    </row>
    <row r="7" spans="2:19" ht="13.5">
      <c r="B7" s="470" t="s">
        <v>69</v>
      </c>
      <c r="C7" s="471" t="s">
        <v>70</v>
      </c>
      <c r="D7" s="472"/>
      <c r="E7" s="473"/>
      <c r="F7" s="474"/>
      <c r="G7" s="475"/>
      <c r="H7" s="476"/>
      <c r="I7" s="476"/>
      <c r="J7" s="477"/>
      <c r="K7" s="478"/>
      <c r="L7" s="477"/>
      <c r="M7" s="477"/>
      <c r="N7" s="479"/>
      <c r="O7" s="480"/>
      <c r="P7" s="480"/>
      <c r="Q7" s="480"/>
      <c r="R7" s="480"/>
      <c r="S7" s="480"/>
    </row>
    <row r="8" spans="2:31" ht="13.5">
      <c r="B8" s="481">
        <v>1</v>
      </c>
      <c r="C8" s="482" t="s">
        <v>71</v>
      </c>
      <c r="D8" s="483" t="s">
        <v>72</v>
      </c>
      <c r="E8" s="484">
        <v>33757.8</v>
      </c>
      <c r="F8" s="484">
        <v>31360.2</v>
      </c>
      <c r="G8" s="484">
        <v>30113.27</v>
      </c>
      <c r="H8" s="484">
        <v>29307.95</v>
      </c>
      <c r="I8" s="484">
        <v>26523.197</v>
      </c>
      <c r="J8" s="484">
        <v>26071.404</v>
      </c>
      <c r="K8" s="485">
        <v>24627.2</v>
      </c>
      <c r="L8" s="563">
        <v>25000</v>
      </c>
      <c r="M8" s="563">
        <v>25270</v>
      </c>
      <c r="N8" s="564">
        <v>25270</v>
      </c>
      <c r="O8" s="564">
        <v>25290</v>
      </c>
      <c r="P8" s="564">
        <v>26040</v>
      </c>
      <c r="Q8" s="564">
        <v>26870</v>
      </c>
      <c r="R8" s="564">
        <v>27700</v>
      </c>
      <c r="S8" s="564">
        <v>28530</v>
      </c>
      <c r="T8" s="373">
        <f>+S8/L8-1</f>
        <v>0.1412</v>
      </c>
      <c r="U8" s="486">
        <f aca="true" t="shared" si="0" ref="U8:Z8">I8-I33-I46</f>
        <v>0</v>
      </c>
      <c r="V8" s="486">
        <f t="shared" si="0"/>
        <v>0</v>
      </c>
      <c r="W8" s="486">
        <f t="shared" si="0"/>
        <v>0</v>
      </c>
      <c r="X8" s="486">
        <f t="shared" si="0"/>
        <v>0</v>
      </c>
      <c r="Y8" s="486">
        <f t="shared" si="0"/>
        <v>0</v>
      </c>
      <c r="Z8" s="486">
        <f t="shared" si="0"/>
        <v>0</v>
      </c>
      <c r="AA8" s="486">
        <f>O8-O33-O46</f>
        <v>0</v>
      </c>
      <c r="AB8" s="486">
        <f>P8-P33-P46</f>
        <v>0</v>
      </c>
      <c r="AC8" s="486">
        <f>Q8-Q33-Q46</f>
        <v>0</v>
      </c>
      <c r="AD8" s="486">
        <f>R8-R33-R46</f>
        <v>0</v>
      </c>
      <c r="AE8" s="486">
        <f>S8-S33-S46</f>
        <v>0</v>
      </c>
    </row>
    <row r="9" spans="2:21" ht="13.5">
      <c r="B9" s="470"/>
      <c r="C9" s="487" t="s">
        <v>62</v>
      </c>
      <c r="D9" s="488" t="s">
        <v>63</v>
      </c>
      <c r="E9" s="489"/>
      <c r="F9" s="489"/>
      <c r="G9" s="372">
        <f>G8/F8-1</f>
        <v>-0.03976154488810657</v>
      </c>
      <c r="H9" s="372">
        <f>H8/G8-1</f>
        <v>-0.026743027243471107</v>
      </c>
      <c r="I9" s="372">
        <f aca="true" t="shared" si="1" ref="I9:N9">I8/H8-1</f>
        <v>-0.09501698344647103</v>
      </c>
      <c r="J9" s="372">
        <f t="shared" si="1"/>
        <v>-0.01703388169985698</v>
      </c>
      <c r="K9" s="372">
        <f t="shared" si="1"/>
        <v>-0.05539417823451309</v>
      </c>
      <c r="L9" s="372">
        <f t="shared" si="1"/>
        <v>0.015137733887733873</v>
      </c>
      <c r="M9" s="372">
        <f t="shared" si="1"/>
        <v>0.01079999999999992</v>
      </c>
      <c r="N9" s="372">
        <f t="shared" si="1"/>
        <v>0</v>
      </c>
      <c r="O9" s="372">
        <f>O8/N8-1</f>
        <v>0.000791452314998109</v>
      </c>
      <c r="P9" s="372">
        <f>P8/O8-1</f>
        <v>0.029655990510083052</v>
      </c>
      <c r="Q9" s="372">
        <f>Q8/P8-1</f>
        <v>0.031874039938555976</v>
      </c>
      <c r="R9" s="372">
        <f>R8/Q8-1</f>
        <v>0.03088946780796431</v>
      </c>
      <c r="S9" s="372">
        <f>S8/R8-1</f>
        <v>0.02996389891696749</v>
      </c>
      <c r="T9" s="372"/>
      <c r="U9" s="486"/>
    </row>
    <row r="10" spans="2:21" ht="13.5">
      <c r="B10" s="470">
        <v>2</v>
      </c>
      <c r="C10" s="471" t="s">
        <v>73</v>
      </c>
      <c r="D10" s="472" t="s">
        <v>64</v>
      </c>
      <c r="E10" s="490">
        <f>+INT(E11*100000/E8+0.5)/100</f>
        <v>69.17</v>
      </c>
      <c r="F10" s="490">
        <f aca="true" t="shared" si="2" ref="F10:S10">F11/F8*1000</f>
        <v>68.37647719083424</v>
      </c>
      <c r="G10" s="490">
        <f t="shared" si="2"/>
        <v>69.89011821034381</v>
      </c>
      <c r="H10" s="490">
        <f t="shared" si="2"/>
        <v>70.54263433641725</v>
      </c>
      <c r="I10" s="490">
        <f t="shared" si="2"/>
        <v>70.7286531107091</v>
      </c>
      <c r="J10" s="490">
        <f t="shared" si="2"/>
        <v>70.03520025235312</v>
      </c>
      <c r="K10" s="490">
        <f t="shared" si="2"/>
        <v>69.11869802494802</v>
      </c>
      <c r="L10" s="490">
        <f t="shared" si="2"/>
        <v>69.58</v>
      </c>
      <c r="M10" s="490">
        <f t="shared" si="2"/>
        <v>70.3601108033241</v>
      </c>
      <c r="N10" s="490">
        <f t="shared" si="2"/>
        <v>71.23070834982192</v>
      </c>
      <c r="O10" s="490">
        <f t="shared" si="2"/>
        <v>72.16291024120206</v>
      </c>
      <c r="P10" s="490">
        <f t="shared" si="2"/>
        <v>73.00307219662058</v>
      </c>
      <c r="Q10" s="490">
        <f t="shared" si="2"/>
        <v>73.87420915519166</v>
      </c>
      <c r="R10" s="490">
        <f t="shared" si="2"/>
        <v>74.7653429602888</v>
      </c>
      <c r="S10" s="490">
        <f t="shared" si="2"/>
        <v>75.60462670872765</v>
      </c>
      <c r="T10" s="372">
        <f>+S10/L10-1</f>
        <v>0.08658560949594207</v>
      </c>
      <c r="U10" s="486"/>
    </row>
    <row r="11" spans="2:31" ht="13.5">
      <c r="B11" s="470">
        <v>3</v>
      </c>
      <c r="C11" s="471" t="s">
        <v>74</v>
      </c>
      <c r="D11" s="472" t="s">
        <v>65</v>
      </c>
      <c r="E11" s="491">
        <v>2334.9</v>
      </c>
      <c r="F11" s="491">
        <v>2144.3</v>
      </c>
      <c r="G11" s="491">
        <v>2104.62</v>
      </c>
      <c r="H11" s="491">
        <v>2067.46</v>
      </c>
      <c r="I11" s="492">
        <v>1875.95</v>
      </c>
      <c r="J11" s="490">
        <v>1825.916</v>
      </c>
      <c r="K11" s="492">
        <v>1702.2</v>
      </c>
      <c r="L11" s="565">
        <v>1739.5</v>
      </c>
      <c r="M11" s="565">
        <v>1778</v>
      </c>
      <c r="N11" s="565">
        <v>1800</v>
      </c>
      <c r="O11" s="565">
        <v>1825</v>
      </c>
      <c r="P11" s="565">
        <v>1901</v>
      </c>
      <c r="Q11" s="565">
        <v>1985</v>
      </c>
      <c r="R11" s="565">
        <v>2071</v>
      </c>
      <c r="S11" s="565">
        <v>2157</v>
      </c>
      <c r="T11" s="565">
        <f>+S11-O11</f>
        <v>332</v>
      </c>
      <c r="U11" s="493">
        <f aca="true" t="shared" si="3" ref="U11:Z11">+I11-I35-I48</f>
        <v>0</v>
      </c>
      <c r="V11" s="486">
        <f t="shared" si="3"/>
        <v>0</v>
      </c>
      <c r="W11" s="494">
        <f t="shared" si="3"/>
        <v>0</v>
      </c>
      <c r="X11" s="486">
        <f t="shared" si="3"/>
        <v>0</v>
      </c>
      <c r="Y11" s="486">
        <f t="shared" si="3"/>
        <v>0</v>
      </c>
      <c r="Z11" s="486">
        <f t="shared" si="3"/>
        <v>0</v>
      </c>
      <c r="AA11" s="486">
        <f>+O11-O35-O48</f>
        <v>0</v>
      </c>
      <c r="AB11" s="486">
        <f>+P11-P35-P48</f>
        <v>0</v>
      </c>
      <c r="AC11" s="486">
        <f>+Q11-Q35-Q48</f>
        <v>0</v>
      </c>
      <c r="AD11" s="486">
        <f>+R11-R35-R48</f>
        <v>0</v>
      </c>
      <c r="AE11" s="486">
        <f>+S11-S35-S48</f>
        <v>0</v>
      </c>
    </row>
    <row r="12" spans="1:31" ht="13.5">
      <c r="A12" s="495"/>
      <c r="B12" s="470"/>
      <c r="C12" s="487" t="s">
        <v>62</v>
      </c>
      <c r="D12" s="488" t="s">
        <v>63</v>
      </c>
      <c r="E12" s="489"/>
      <c r="F12" s="489"/>
      <c r="G12" s="372">
        <f>G11/F11-1</f>
        <v>-0.018504873385254084</v>
      </c>
      <c r="H12" s="372">
        <f>H11/G11-1</f>
        <v>-0.0176563940283756</v>
      </c>
      <c r="I12" s="372">
        <f aca="true" t="shared" si="4" ref="I12:N12">I11/H11-1</f>
        <v>-0.09263057084538517</v>
      </c>
      <c r="J12" s="372">
        <f t="shared" si="4"/>
        <v>-0.026671286548148987</v>
      </c>
      <c r="K12" s="372">
        <f t="shared" si="4"/>
        <v>-0.067755581308231</v>
      </c>
      <c r="L12" s="372">
        <f t="shared" si="4"/>
        <v>0.021912818705204895</v>
      </c>
      <c r="M12" s="372">
        <f t="shared" si="4"/>
        <v>0.02213279678068414</v>
      </c>
      <c r="N12" s="372">
        <f t="shared" si="4"/>
        <v>0.012373453318335281</v>
      </c>
      <c r="O12" s="372">
        <f>O11/N11-1</f>
        <v>0.01388888888888884</v>
      </c>
      <c r="P12" s="372">
        <f>P11/O11-1</f>
        <v>0.04164383561643836</v>
      </c>
      <c r="Q12" s="372">
        <f>Q11/P11-1</f>
        <v>0.0441872698579695</v>
      </c>
      <c r="R12" s="372">
        <f>R11/Q11-1</f>
        <v>0.04332493702770779</v>
      </c>
      <c r="S12" s="372">
        <f>S11/R11-1</f>
        <v>0.041525832930951134</v>
      </c>
      <c r="T12" s="373">
        <f>+S11/O11-1</f>
        <v>0.18191780821917813</v>
      </c>
      <c r="U12" s="486"/>
      <c r="V12" s="486"/>
      <c r="W12" s="494"/>
      <c r="X12" s="486"/>
      <c r="Y12" s="486"/>
      <c r="Z12" s="486"/>
      <c r="AA12" s="486"/>
      <c r="AB12" s="486"/>
      <c r="AC12" s="486"/>
      <c r="AD12" s="486"/>
      <c r="AE12" s="486"/>
    </row>
    <row r="13" spans="2:31" ht="13.5">
      <c r="B13" s="470">
        <v>4</v>
      </c>
      <c r="C13" s="471" t="s">
        <v>75</v>
      </c>
      <c r="D13" s="472" t="s">
        <v>67</v>
      </c>
      <c r="E13" s="391">
        <v>90654</v>
      </c>
      <c r="F13" s="391">
        <v>84499</v>
      </c>
      <c r="G13" s="391">
        <f>87154+1514</f>
        <v>88668</v>
      </c>
      <c r="H13" s="374">
        <v>81825</v>
      </c>
      <c r="I13" s="559">
        <v>80654.3418</v>
      </c>
      <c r="J13" s="374">
        <v>76785</v>
      </c>
      <c r="K13" s="374">
        <v>71219.00553</v>
      </c>
      <c r="L13" s="374">
        <f aca="true" t="shared" si="5" ref="L13:S13">L36+L49</f>
        <v>70774.48000000001</v>
      </c>
      <c r="M13" s="374">
        <f t="shared" si="5"/>
        <v>75042</v>
      </c>
      <c r="N13" s="374">
        <f t="shared" si="5"/>
        <v>76764</v>
      </c>
      <c r="O13" s="374">
        <f t="shared" si="5"/>
        <v>79161</v>
      </c>
      <c r="P13" s="374">
        <f t="shared" si="5"/>
        <v>83563</v>
      </c>
      <c r="Q13" s="374">
        <f t="shared" si="5"/>
        <v>88368</v>
      </c>
      <c r="R13" s="374">
        <f t="shared" si="5"/>
        <v>93142</v>
      </c>
      <c r="S13" s="374">
        <f t="shared" si="5"/>
        <v>98644</v>
      </c>
      <c r="T13" s="374"/>
      <c r="U13" s="486">
        <f aca="true" t="shared" si="6" ref="U13:AE18">+I13-I36-I49</f>
        <v>0</v>
      </c>
      <c r="V13" s="486">
        <f t="shared" si="6"/>
        <v>0</v>
      </c>
      <c r="W13" s="494">
        <f t="shared" si="6"/>
        <v>0</v>
      </c>
      <c r="X13" s="486">
        <f t="shared" si="6"/>
        <v>0</v>
      </c>
      <c r="Y13" s="486">
        <f t="shared" si="6"/>
        <v>0</v>
      </c>
      <c r="Z13" s="486">
        <f t="shared" si="6"/>
        <v>0</v>
      </c>
      <c r="AA13" s="486">
        <f t="shared" si="6"/>
        <v>0</v>
      </c>
      <c r="AB13" s="486">
        <f t="shared" si="6"/>
        <v>0</v>
      </c>
      <c r="AC13" s="486">
        <f t="shared" si="6"/>
        <v>0</v>
      </c>
      <c r="AD13" s="486">
        <f t="shared" si="6"/>
        <v>0</v>
      </c>
      <c r="AE13" s="486">
        <f t="shared" si="6"/>
        <v>0</v>
      </c>
    </row>
    <row r="14" spans="2:31" ht="13.5">
      <c r="B14" s="470"/>
      <c r="C14" s="496" t="s">
        <v>76</v>
      </c>
      <c r="D14" s="472" t="s">
        <v>67</v>
      </c>
      <c r="E14" s="376">
        <v>19138</v>
      </c>
      <c r="F14" s="375">
        <v>18462</v>
      </c>
      <c r="G14" s="497">
        <v>18090</v>
      </c>
      <c r="H14" s="375">
        <v>17999</v>
      </c>
      <c r="I14" s="560">
        <v>17561.303000000004</v>
      </c>
      <c r="J14" s="375">
        <v>16796</v>
      </c>
      <c r="K14" s="375">
        <v>15219.997</v>
      </c>
      <c r="L14" s="375">
        <v>16406</v>
      </c>
      <c r="M14" s="375">
        <v>16406</v>
      </c>
      <c r="N14" s="375">
        <v>16406</v>
      </c>
      <c r="O14" s="375">
        <v>16406</v>
      </c>
      <c r="P14" s="375">
        <f>220000/12</f>
        <v>18333.333333333332</v>
      </c>
      <c r="Q14" s="375">
        <f>220000/12</f>
        <v>18333.333333333332</v>
      </c>
      <c r="R14" s="375">
        <f>220000/12</f>
        <v>18333.333333333332</v>
      </c>
      <c r="S14" s="375">
        <f>220000/12</f>
        <v>18333.333333333332</v>
      </c>
      <c r="T14" s="375"/>
      <c r="U14" s="486">
        <f t="shared" si="6"/>
        <v>0</v>
      </c>
      <c r="V14" s="486">
        <f t="shared" si="6"/>
        <v>0</v>
      </c>
      <c r="W14" s="494">
        <f t="shared" si="6"/>
        <v>0</v>
      </c>
      <c r="X14" s="486">
        <f t="shared" si="6"/>
        <v>0</v>
      </c>
      <c r="Y14" s="486">
        <f t="shared" si="6"/>
        <v>0</v>
      </c>
      <c r="Z14" s="486">
        <f t="shared" si="6"/>
        <v>0</v>
      </c>
      <c r="AA14" s="486">
        <f t="shared" si="6"/>
        <v>0</v>
      </c>
      <c r="AB14" s="486">
        <f t="shared" si="6"/>
        <v>0</v>
      </c>
      <c r="AC14" s="486">
        <f t="shared" si="6"/>
        <v>0</v>
      </c>
      <c r="AD14" s="486">
        <f t="shared" si="6"/>
        <v>0</v>
      </c>
      <c r="AE14" s="486">
        <f t="shared" si="6"/>
        <v>0</v>
      </c>
    </row>
    <row r="15" spans="2:31" ht="13.5">
      <c r="B15" s="470"/>
      <c r="C15" s="496" t="s">
        <v>77</v>
      </c>
      <c r="D15" s="472" t="s">
        <v>67</v>
      </c>
      <c r="E15" s="376">
        <v>18799</v>
      </c>
      <c r="F15" s="376">
        <v>18136</v>
      </c>
      <c r="G15" s="497">
        <v>17770</v>
      </c>
      <c r="H15" s="376">
        <v>17681</v>
      </c>
      <c r="I15" s="560">
        <v>17347.71</v>
      </c>
      <c r="J15" s="376">
        <v>16544</v>
      </c>
      <c r="K15" s="376">
        <v>14988.071</v>
      </c>
      <c r="L15" s="376">
        <v>16175</v>
      </c>
      <c r="M15" s="376">
        <v>16175</v>
      </c>
      <c r="N15" s="376">
        <v>16175</v>
      </c>
      <c r="O15" s="376">
        <v>16175</v>
      </c>
      <c r="P15" s="376">
        <f>INT(P14/1015*1000+0.5)</f>
        <v>18062</v>
      </c>
      <c r="Q15" s="376">
        <f>INT(Q14/1015*1000+0.5)</f>
        <v>18062</v>
      </c>
      <c r="R15" s="376">
        <f>INT(R14/1015*1000+0.5)</f>
        <v>18062</v>
      </c>
      <c r="S15" s="376">
        <f>INT(S14/1015*1000+0.5)</f>
        <v>18062</v>
      </c>
      <c r="T15" s="376"/>
      <c r="U15" s="486">
        <f t="shared" si="6"/>
        <v>0</v>
      </c>
      <c r="V15" s="486">
        <f t="shared" si="6"/>
        <v>0</v>
      </c>
      <c r="W15" s="494">
        <f t="shared" si="6"/>
        <v>0</v>
      </c>
      <c r="X15" s="486">
        <f t="shared" si="6"/>
        <v>0</v>
      </c>
      <c r="Y15" s="486">
        <f t="shared" si="6"/>
        <v>0</v>
      </c>
      <c r="Z15" s="486">
        <f t="shared" si="6"/>
        <v>0</v>
      </c>
      <c r="AA15" s="486">
        <f t="shared" si="6"/>
        <v>0</v>
      </c>
      <c r="AB15" s="486">
        <f t="shared" si="6"/>
        <v>0</v>
      </c>
      <c r="AC15" s="486">
        <f t="shared" si="6"/>
        <v>0</v>
      </c>
      <c r="AD15" s="486">
        <f t="shared" si="6"/>
        <v>0</v>
      </c>
      <c r="AE15" s="486">
        <f t="shared" si="6"/>
        <v>0</v>
      </c>
    </row>
    <row r="16" spans="2:31" ht="13.5">
      <c r="B16" s="470"/>
      <c r="C16" s="498" t="s">
        <v>78</v>
      </c>
      <c r="D16" s="472" t="s">
        <v>67</v>
      </c>
      <c r="E16" s="376">
        <v>1544</v>
      </c>
      <c r="F16" s="375">
        <v>1437</v>
      </c>
      <c r="G16" s="497">
        <v>1514</v>
      </c>
      <c r="H16" s="375">
        <v>1023</v>
      </c>
      <c r="I16" s="559">
        <v>1018.5397999999999</v>
      </c>
      <c r="J16" s="375">
        <v>1138</v>
      </c>
      <c r="K16" s="375">
        <v>1082.81613</v>
      </c>
      <c r="L16" s="375">
        <v>1029</v>
      </c>
      <c r="M16" s="375">
        <f aca="true" t="shared" si="7" ref="M16:S16">M39+M52</f>
        <v>1096</v>
      </c>
      <c r="N16" s="375">
        <f t="shared" si="7"/>
        <v>1121</v>
      </c>
      <c r="O16" s="375">
        <f t="shared" si="7"/>
        <v>1155</v>
      </c>
      <c r="P16" s="375">
        <f t="shared" si="7"/>
        <v>1220</v>
      </c>
      <c r="Q16" s="375">
        <f t="shared" si="7"/>
        <v>1289</v>
      </c>
      <c r="R16" s="375">
        <f t="shared" si="7"/>
        <v>1359</v>
      </c>
      <c r="S16" s="375">
        <f t="shared" si="7"/>
        <v>1439</v>
      </c>
      <c r="T16" s="375"/>
      <c r="U16" s="486">
        <f t="shared" si="6"/>
        <v>0</v>
      </c>
      <c r="V16" s="486">
        <f t="shared" si="6"/>
        <v>0</v>
      </c>
      <c r="W16" s="494">
        <f t="shared" si="6"/>
        <v>0</v>
      </c>
      <c r="X16" s="486">
        <f t="shared" si="6"/>
        <v>0</v>
      </c>
      <c r="Y16" s="486">
        <f t="shared" si="6"/>
        <v>0</v>
      </c>
      <c r="Z16" s="486">
        <f t="shared" si="6"/>
        <v>0</v>
      </c>
      <c r="AA16" s="486">
        <f t="shared" si="6"/>
        <v>0</v>
      </c>
      <c r="AB16" s="486">
        <f t="shared" si="6"/>
        <v>0</v>
      </c>
      <c r="AC16" s="486">
        <f t="shared" si="6"/>
        <v>0</v>
      </c>
      <c r="AD16" s="486">
        <f t="shared" si="6"/>
        <v>0</v>
      </c>
      <c r="AE16" s="486">
        <f t="shared" si="6"/>
        <v>0</v>
      </c>
    </row>
    <row r="17" spans="2:31" ht="13.5">
      <c r="B17" s="470"/>
      <c r="C17" s="499" t="s">
        <v>66</v>
      </c>
      <c r="D17" s="472" t="s">
        <v>67</v>
      </c>
      <c r="E17" s="500">
        <f>E13-E16</f>
        <v>89110</v>
      </c>
      <c r="F17" s="500">
        <f>F13-F16</f>
        <v>83062</v>
      </c>
      <c r="G17" s="391">
        <f>G13-G16</f>
        <v>87154</v>
      </c>
      <c r="H17" s="374">
        <v>80802</v>
      </c>
      <c r="I17" s="561">
        <v>79635.802</v>
      </c>
      <c r="J17" s="501">
        <v>75647</v>
      </c>
      <c r="K17" s="387">
        <v>70136.18939999999</v>
      </c>
      <c r="L17" s="377">
        <f>L13-L16</f>
        <v>69745.48000000001</v>
      </c>
      <c r="M17" s="377">
        <f>M40+M53</f>
        <v>73946</v>
      </c>
      <c r="N17" s="377">
        <f aca="true" t="shared" si="8" ref="N17:S17">N40+N53</f>
        <v>75643</v>
      </c>
      <c r="O17" s="377">
        <f t="shared" si="8"/>
        <v>78006</v>
      </c>
      <c r="P17" s="377">
        <f t="shared" si="8"/>
        <v>82343</v>
      </c>
      <c r="Q17" s="377">
        <f t="shared" si="8"/>
        <v>87079</v>
      </c>
      <c r="R17" s="377">
        <f t="shared" si="8"/>
        <v>91783</v>
      </c>
      <c r="S17" s="377">
        <f t="shared" si="8"/>
        <v>97205</v>
      </c>
      <c r="T17" s="377">
        <f>+S17-L17</f>
        <v>27459.51999999999</v>
      </c>
      <c r="U17" s="486">
        <f t="shared" si="6"/>
        <v>0</v>
      </c>
      <c r="V17" s="486">
        <f t="shared" si="6"/>
        <v>0</v>
      </c>
      <c r="W17" s="494">
        <f t="shared" si="6"/>
        <v>0</v>
      </c>
      <c r="X17" s="486">
        <f t="shared" si="6"/>
        <v>0</v>
      </c>
      <c r="Y17" s="486">
        <f t="shared" si="6"/>
        <v>0</v>
      </c>
      <c r="Z17" s="486">
        <f t="shared" si="6"/>
        <v>0</v>
      </c>
      <c r="AA17" s="486">
        <f t="shared" si="6"/>
        <v>0</v>
      </c>
      <c r="AB17" s="486">
        <f t="shared" si="6"/>
        <v>0</v>
      </c>
      <c r="AC17" s="486">
        <f t="shared" si="6"/>
        <v>0</v>
      </c>
      <c r="AD17" s="486">
        <f t="shared" si="6"/>
        <v>0</v>
      </c>
      <c r="AE17" s="486">
        <f t="shared" si="6"/>
        <v>0</v>
      </c>
    </row>
    <row r="18" spans="2:31" ht="13.5">
      <c r="B18" s="470"/>
      <c r="C18" s="499" t="s">
        <v>79</v>
      </c>
      <c r="D18" s="472" t="s">
        <v>67</v>
      </c>
      <c r="E18" s="500">
        <f>E17-E15</f>
        <v>70311</v>
      </c>
      <c r="F18" s="500">
        <f>F17-F15</f>
        <v>64926</v>
      </c>
      <c r="G18" s="391">
        <f>G17-G15</f>
        <v>69384</v>
      </c>
      <c r="H18" s="500">
        <v>63121</v>
      </c>
      <c r="I18" s="561">
        <v>62288.092000000004</v>
      </c>
      <c r="J18" s="500">
        <v>59103</v>
      </c>
      <c r="K18" s="500">
        <v>55148.11840000001</v>
      </c>
      <c r="L18" s="500">
        <f aca="true" t="shared" si="9" ref="L18:S18">L17-L15</f>
        <v>53570.48000000001</v>
      </c>
      <c r="M18" s="500">
        <f t="shared" si="9"/>
        <v>57771</v>
      </c>
      <c r="N18" s="500">
        <f t="shared" si="9"/>
        <v>59468</v>
      </c>
      <c r="O18" s="500">
        <f t="shared" si="9"/>
        <v>61831</v>
      </c>
      <c r="P18" s="500">
        <f t="shared" si="9"/>
        <v>64281</v>
      </c>
      <c r="Q18" s="500">
        <f t="shared" si="9"/>
        <v>69017</v>
      </c>
      <c r="R18" s="500">
        <f t="shared" si="9"/>
        <v>73721</v>
      </c>
      <c r="S18" s="500">
        <f t="shared" si="9"/>
        <v>79143</v>
      </c>
      <c r="T18" s="378">
        <f>+S17/L17-1</f>
        <v>0.3937103881140396</v>
      </c>
      <c r="U18" s="486">
        <f t="shared" si="6"/>
        <v>0</v>
      </c>
      <c r="V18" s="486">
        <f t="shared" si="6"/>
        <v>0</v>
      </c>
      <c r="W18" s="494">
        <f t="shared" si="6"/>
        <v>0</v>
      </c>
      <c r="X18" s="486">
        <f t="shared" si="6"/>
        <v>0</v>
      </c>
      <c r="Y18" s="486">
        <f t="shared" si="6"/>
        <v>0</v>
      </c>
      <c r="Z18" s="486">
        <f t="shared" si="6"/>
        <v>0</v>
      </c>
      <c r="AA18" s="486">
        <f t="shared" si="6"/>
        <v>0</v>
      </c>
      <c r="AB18" s="486">
        <f t="shared" si="6"/>
        <v>0</v>
      </c>
      <c r="AC18" s="486">
        <f t="shared" si="6"/>
        <v>0</v>
      </c>
      <c r="AD18" s="486">
        <f t="shared" si="6"/>
        <v>0</v>
      </c>
      <c r="AE18" s="486">
        <f t="shared" si="6"/>
        <v>0</v>
      </c>
    </row>
    <row r="19" spans="2:20" ht="13.5">
      <c r="B19" s="470">
        <v>5</v>
      </c>
      <c r="C19" s="498" t="s">
        <v>80</v>
      </c>
      <c r="D19" s="472" t="s">
        <v>68</v>
      </c>
      <c r="E19" s="379">
        <f>+E17/E11/1000</f>
        <v>0.03816437534798064</v>
      </c>
      <c r="F19" s="379">
        <f>+F17/F11/1000</f>
        <v>0.038736184302569594</v>
      </c>
      <c r="G19" s="379">
        <f>+G17/G11/1000</f>
        <v>0.04141080099970541</v>
      </c>
      <c r="H19" s="379">
        <v>0.03908273920656264</v>
      </c>
      <c r="I19" s="562">
        <v>0.042450851380604955</v>
      </c>
      <c r="J19" s="379">
        <f>+J17/J11/1000</f>
        <v>0.041429616696496446</v>
      </c>
      <c r="K19" s="379">
        <v>0.04120156918010637</v>
      </c>
      <c r="L19" s="379">
        <f aca="true" t="shared" si="10" ref="L19:S19">+L17/L11/1000</f>
        <v>0.040095130784708256</v>
      </c>
      <c r="M19" s="379">
        <f t="shared" si="10"/>
        <v>0.04158942632170979</v>
      </c>
      <c r="N19" s="379">
        <f t="shared" si="10"/>
        <v>0.04202388888888889</v>
      </c>
      <c r="O19" s="379">
        <f t="shared" si="10"/>
        <v>0.042743013698630136</v>
      </c>
      <c r="P19" s="379">
        <f t="shared" si="10"/>
        <v>0.043315623356128354</v>
      </c>
      <c r="Q19" s="379">
        <f t="shared" si="10"/>
        <v>0.043868513853904285</v>
      </c>
      <c r="R19" s="379">
        <f t="shared" si="10"/>
        <v>0.04431820376629648</v>
      </c>
      <c r="S19" s="379">
        <f t="shared" si="10"/>
        <v>0.04506490496059341</v>
      </c>
      <c r="T19" s="424">
        <f>+S19/L19-1</f>
        <v>0.12394956890327835</v>
      </c>
    </row>
    <row r="20" spans="2:20" ht="13.5">
      <c r="B20" s="470"/>
      <c r="C20" s="487" t="s">
        <v>62</v>
      </c>
      <c r="D20" s="488" t="s">
        <v>63</v>
      </c>
      <c r="E20" s="489"/>
      <c r="F20" s="489"/>
      <c r="G20" s="372">
        <f>G19/F19-1</f>
        <v>0.06904698398387143</v>
      </c>
      <c r="H20" s="372">
        <f>H19/G19-1</f>
        <v>-0.05621870953810659</v>
      </c>
      <c r="I20" s="372">
        <f aca="true" t="shared" si="11" ref="I20:N20">I19/H19-1</f>
        <v>0.08617902026367563</v>
      </c>
      <c r="J20" s="372">
        <f t="shared" si="11"/>
        <v>-0.024056871673840963</v>
      </c>
      <c r="K20" s="372">
        <f t="shared" si="11"/>
        <v>-0.005504456342444564</v>
      </c>
      <c r="L20" s="372">
        <f t="shared" si="11"/>
        <v>-0.02685427806308749</v>
      </c>
      <c r="M20" s="372">
        <f t="shared" si="11"/>
        <v>0.03726875328141932</v>
      </c>
      <c r="N20" s="372">
        <f t="shared" si="11"/>
        <v>0.010446466941341548</v>
      </c>
      <c r="O20" s="372">
        <f>O19/N19-1</f>
        <v>0.01711228610095117</v>
      </c>
      <c r="P20" s="372">
        <f>P19/O19-1</f>
        <v>0.013396567250394176</v>
      </c>
      <c r="Q20" s="372">
        <f>Q19/P19-1</f>
        <v>0.012764228122269516</v>
      </c>
      <c r="R20" s="372">
        <f>R19/Q19-1</f>
        <v>0.010250858141440666</v>
      </c>
      <c r="S20" s="372">
        <f>S19/R19-1</f>
        <v>0.016848633988744588</v>
      </c>
      <c r="T20" s="372"/>
    </row>
    <row r="21" spans="2:20" ht="13.5">
      <c r="B21" s="502" t="s">
        <v>81</v>
      </c>
      <c r="C21" s="503" t="s">
        <v>82</v>
      </c>
      <c r="D21" s="504" t="s">
        <v>68</v>
      </c>
      <c r="E21" s="505">
        <f>(E17-E14)/E11/1000</f>
        <v>0.029967878710008992</v>
      </c>
      <c r="F21" s="505">
        <f>(F17-F14)/F11/1000</f>
        <v>0.030126381569743038</v>
      </c>
      <c r="G21" s="505">
        <f>(G17-G14)/G11/1000</f>
        <v>0.032815425112371836</v>
      </c>
      <c r="H21" s="505">
        <f>(H17-H15)/H11/1000</f>
        <v>0.03053069950567363</v>
      </c>
      <c r="I21" s="562">
        <v>0.03308958113556149</v>
      </c>
      <c r="J21" s="505">
        <f>(J17-J15)/J11/1000</f>
        <v>0.03236895892253532</v>
      </c>
      <c r="K21" s="505">
        <v>0.03226056789844119</v>
      </c>
      <c r="L21" s="505">
        <f aca="true" t="shared" si="12" ref="L21:S21">(L17-L15)/L11/1000</f>
        <v>0.030796481747628637</v>
      </c>
      <c r="M21" s="505">
        <f t="shared" si="12"/>
        <v>0.03249212598425197</v>
      </c>
      <c r="N21" s="505">
        <f t="shared" si="12"/>
        <v>0.03303777777777778</v>
      </c>
      <c r="O21" s="505">
        <f t="shared" si="12"/>
        <v>0.03388</v>
      </c>
      <c r="P21" s="505">
        <f t="shared" si="12"/>
        <v>0.033814308258811154</v>
      </c>
      <c r="Q21" s="505">
        <f t="shared" si="12"/>
        <v>0.03476926952141058</v>
      </c>
      <c r="R21" s="505">
        <f t="shared" si="12"/>
        <v>0.035596813133751806</v>
      </c>
      <c r="S21" s="505">
        <f t="shared" si="12"/>
        <v>0.03669123783031989</v>
      </c>
      <c r="T21" s="380"/>
    </row>
    <row r="22" spans="2:20" ht="13.5">
      <c r="B22" s="470"/>
      <c r="C22" s="487" t="s">
        <v>62</v>
      </c>
      <c r="D22" s="488" t="s">
        <v>63</v>
      </c>
      <c r="E22" s="489"/>
      <c r="F22" s="489"/>
      <c r="G22" s="372">
        <f>G21/F21-1</f>
        <v>0.08925876266964283</v>
      </c>
      <c r="H22" s="372">
        <f>H21/G21-1</f>
        <v>-0.06962352609708644</v>
      </c>
      <c r="I22" s="506">
        <f aca="true" t="shared" si="13" ref="I22:N22">I21/H21-1</f>
        <v>0.08381339672261157</v>
      </c>
      <c r="J22" s="506">
        <f t="shared" si="13"/>
        <v>-0.021777918858323475</v>
      </c>
      <c r="K22" s="506">
        <f t="shared" si="13"/>
        <v>-0.003348610140768704</v>
      </c>
      <c r="L22" s="506">
        <f t="shared" si="13"/>
        <v>-0.045383148722664024</v>
      </c>
      <c r="M22" s="506">
        <f t="shared" si="13"/>
        <v>0.055059673715939894</v>
      </c>
      <c r="N22" s="506">
        <f t="shared" si="13"/>
        <v>0.016793354605059374</v>
      </c>
      <c r="O22" s="506">
        <f>O21/N21-1</f>
        <v>0.0254927019573552</v>
      </c>
      <c r="P22" s="506">
        <f>P21/O21-1</f>
        <v>-0.0019389533999069064</v>
      </c>
      <c r="Q22" s="506">
        <f>Q21/P21-1</f>
        <v>0.0282413366344878</v>
      </c>
      <c r="R22" s="506">
        <f>R21/Q21-1</f>
        <v>0.023801006570806305</v>
      </c>
      <c r="S22" s="506">
        <f>S21/R21-1</f>
        <v>0.030745019012120123</v>
      </c>
      <c r="T22" s="372"/>
    </row>
    <row r="23" spans="2:20" ht="13.5">
      <c r="B23" s="507" t="s">
        <v>83</v>
      </c>
      <c r="C23" s="508" t="s">
        <v>84</v>
      </c>
      <c r="D23" s="509"/>
      <c r="E23" s="510"/>
      <c r="F23" s="511"/>
      <c r="G23" s="512"/>
      <c r="H23" s="513"/>
      <c r="I23" s="513"/>
      <c r="J23" s="476"/>
      <c r="K23" s="476"/>
      <c r="L23" s="381"/>
      <c r="M23" s="381"/>
      <c r="N23" s="381"/>
      <c r="O23" s="381"/>
      <c r="P23" s="381"/>
      <c r="Q23" s="381"/>
      <c r="R23" s="381"/>
      <c r="S23" s="381"/>
      <c r="T23" s="381"/>
    </row>
    <row r="24" spans="2:20" ht="13.5">
      <c r="B24" s="507">
        <v>1</v>
      </c>
      <c r="C24" s="508" t="s">
        <v>85</v>
      </c>
      <c r="D24" s="509" t="s">
        <v>67</v>
      </c>
      <c r="E24" s="514">
        <v>1979.654</v>
      </c>
      <c r="F24" s="515">
        <v>1285</v>
      </c>
      <c r="G24" s="516">
        <v>1094</v>
      </c>
      <c r="H24" s="514">
        <v>773</v>
      </c>
      <c r="I24" s="514">
        <v>62</v>
      </c>
      <c r="J24" s="514">
        <v>60</v>
      </c>
      <c r="K24" s="514">
        <v>60</v>
      </c>
      <c r="L24" s="514">
        <v>60</v>
      </c>
      <c r="M24" s="514">
        <v>60</v>
      </c>
      <c r="N24" s="514">
        <v>60</v>
      </c>
      <c r="O24" s="514">
        <v>60</v>
      </c>
      <c r="P24" s="514">
        <v>60</v>
      </c>
      <c r="Q24" s="514">
        <v>60</v>
      </c>
      <c r="R24" s="514">
        <v>60</v>
      </c>
      <c r="S24" s="514">
        <v>60</v>
      </c>
      <c r="T24" s="376"/>
    </row>
    <row r="25" spans="2:20" ht="15" customHeight="1">
      <c r="B25" s="470"/>
      <c r="C25" s="498"/>
      <c r="D25" s="472"/>
      <c r="E25" s="376"/>
      <c r="F25" s="500"/>
      <c r="G25" s="500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</row>
    <row r="26" spans="2:20" ht="13.5">
      <c r="B26" s="517" t="s">
        <v>86</v>
      </c>
      <c r="C26" s="518" t="s">
        <v>87</v>
      </c>
      <c r="D26" s="519" t="s">
        <v>67</v>
      </c>
      <c r="E26" s="382">
        <f>+E13+E24</f>
        <v>92633.654</v>
      </c>
      <c r="F26" s="382">
        <f>+F13+F24</f>
        <v>85784</v>
      </c>
      <c r="G26" s="382">
        <f>+G13+G24</f>
        <v>89762</v>
      </c>
      <c r="H26" s="382">
        <f aca="true" t="shared" si="14" ref="H26:S26">+H13+H24</f>
        <v>82598</v>
      </c>
      <c r="I26" s="382">
        <f t="shared" si="14"/>
        <v>80716.3418</v>
      </c>
      <c r="J26" s="382">
        <f t="shared" si="14"/>
        <v>76845</v>
      </c>
      <c r="K26" s="382">
        <v>71279.00553</v>
      </c>
      <c r="L26" s="382">
        <f t="shared" si="14"/>
        <v>70834.48000000001</v>
      </c>
      <c r="M26" s="382">
        <f t="shared" si="14"/>
        <v>75102</v>
      </c>
      <c r="N26" s="382">
        <f t="shared" si="14"/>
        <v>76824</v>
      </c>
      <c r="O26" s="382">
        <f t="shared" si="14"/>
        <v>79221</v>
      </c>
      <c r="P26" s="382">
        <f t="shared" si="14"/>
        <v>83623</v>
      </c>
      <c r="Q26" s="382">
        <f t="shared" si="14"/>
        <v>88428</v>
      </c>
      <c r="R26" s="382">
        <f t="shared" si="14"/>
        <v>93202</v>
      </c>
      <c r="S26" s="382">
        <f t="shared" si="14"/>
        <v>98704</v>
      </c>
      <c r="T26" s="382"/>
    </row>
    <row r="27" spans="2:20" ht="13.5">
      <c r="B27" s="555" t="s">
        <v>88</v>
      </c>
      <c r="C27" s="556" t="s">
        <v>89</v>
      </c>
      <c r="D27" s="557" t="s">
        <v>67</v>
      </c>
      <c r="E27" s="558">
        <f aca="true" t="shared" si="15" ref="E27:N27">+E17+E24</f>
        <v>91089.654</v>
      </c>
      <c r="F27" s="558">
        <f t="shared" si="15"/>
        <v>84347</v>
      </c>
      <c r="G27" s="558">
        <f t="shared" si="15"/>
        <v>88248</v>
      </c>
      <c r="H27" s="558">
        <f t="shared" si="15"/>
        <v>81575</v>
      </c>
      <c r="I27" s="558">
        <f t="shared" si="15"/>
        <v>79697.802</v>
      </c>
      <c r="J27" s="558">
        <f t="shared" si="15"/>
        <v>75707</v>
      </c>
      <c r="K27" s="558">
        <v>70196.18939999999</v>
      </c>
      <c r="L27" s="558">
        <f t="shared" si="15"/>
        <v>69805.48000000001</v>
      </c>
      <c r="M27" s="558">
        <f t="shared" si="15"/>
        <v>74006</v>
      </c>
      <c r="N27" s="558">
        <f t="shared" si="15"/>
        <v>75703</v>
      </c>
      <c r="O27" s="558">
        <f>+O17+O24</f>
        <v>78066</v>
      </c>
      <c r="P27" s="558">
        <f>+P17+P24</f>
        <v>82403</v>
      </c>
      <c r="Q27" s="558">
        <f>+Q17+Q24</f>
        <v>87139</v>
      </c>
      <c r="R27" s="558">
        <f>+R17+R24</f>
        <v>91843</v>
      </c>
      <c r="S27" s="558">
        <f>+S17+S24</f>
        <v>97265</v>
      </c>
      <c r="T27" s="382"/>
    </row>
    <row r="28" spans="2:20" ht="13.5">
      <c r="B28" s="517" t="s">
        <v>90</v>
      </c>
      <c r="C28" s="518" t="s">
        <v>91</v>
      </c>
      <c r="D28" s="520" t="s">
        <v>67</v>
      </c>
      <c r="E28" s="521">
        <f aca="true" t="shared" si="16" ref="E28:S29">+E15</f>
        <v>18799</v>
      </c>
      <c r="F28" s="521">
        <f t="shared" si="16"/>
        <v>18136</v>
      </c>
      <c r="G28" s="521">
        <f t="shared" si="16"/>
        <v>17770</v>
      </c>
      <c r="H28" s="521">
        <f t="shared" si="16"/>
        <v>17681</v>
      </c>
      <c r="I28" s="521">
        <f t="shared" si="16"/>
        <v>17347.71</v>
      </c>
      <c r="J28" s="521">
        <f t="shared" si="16"/>
        <v>16544</v>
      </c>
      <c r="K28" s="521">
        <v>14988.071</v>
      </c>
      <c r="L28" s="521">
        <f t="shared" si="16"/>
        <v>16175</v>
      </c>
      <c r="M28" s="521">
        <f t="shared" si="16"/>
        <v>16175</v>
      </c>
      <c r="N28" s="521">
        <f t="shared" si="16"/>
        <v>16175</v>
      </c>
      <c r="O28" s="521">
        <f t="shared" si="16"/>
        <v>16175</v>
      </c>
      <c r="P28" s="521">
        <f t="shared" si="16"/>
        <v>18062</v>
      </c>
      <c r="Q28" s="521">
        <f t="shared" si="16"/>
        <v>18062</v>
      </c>
      <c r="R28" s="521">
        <f t="shared" si="16"/>
        <v>18062</v>
      </c>
      <c r="S28" s="521">
        <f t="shared" si="16"/>
        <v>18062</v>
      </c>
      <c r="T28" s="382"/>
    </row>
    <row r="29" spans="2:20" ht="13.5">
      <c r="B29" s="522" t="s">
        <v>92</v>
      </c>
      <c r="C29" s="523" t="s">
        <v>93</v>
      </c>
      <c r="D29" s="520" t="s">
        <v>67</v>
      </c>
      <c r="E29" s="521">
        <f t="shared" si="16"/>
        <v>1544</v>
      </c>
      <c r="F29" s="521">
        <f t="shared" si="16"/>
        <v>1437</v>
      </c>
      <c r="G29" s="521">
        <f t="shared" si="16"/>
        <v>1514</v>
      </c>
      <c r="H29" s="521">
        <f t="shared" si="16"/>
        <v>1023</v>
      </c>
      <c r="I29" s="521">
        <f t="shared" si="16"/>
        <v>1018.5397999999999</v>
      </c>
      <c r="J29" s="521">
        <f t="shared" si="16"/>
        <v>1138</v>
      </c>
      <c r="K29" s="521">
        <v>1082.81613</v>
      </c>
      <c r="L29" s="521">
        <f t="shared" si="16"/>
        <v>1029</v>
      </c>
      <c r="M29" s="521">
        <f t="shared" si="16"/>
        <v>1096</v>
      </c>
      <c r="N29" s="521">
        <f t="shared" si="16"/>
        <v>1121</v>
      </c>
      <c r="O29" s="521">
        <f t="shared" si="16"/>
        <v>1155</v>
      </c>
      <c r="P29" s="521">
        <f t="shared" si="16"/>
        <v>1220</v>
      </c>
      <c r="Q29" s="521">
        <f t="shared" si="16"/>
        <v>1289</v>
      </c>
      <c r="R29" s="521">
        <f t="shared" si="16"/>
        <v>1359</v>
      </c>
      <c r="S29" s="521">
        <f t="shared" si="16"/>
        <v>1439</v>
      </c>
      <c r="T29" s="382"/>
    </row>
    <row r="30" spans="2:20" ht="13.5" hidden="1" outlineLevel="1">
      <c r="B30" s="524"/>
      <c r="C30" s="381"/>
      <c r="D30" s="381"/>
      <c r="E30" s="525">
        <f>+E27-E28</f>
        <v>72290.654</v>
      </c>
      <c r="F30" s="525">
        <f>+F27-F28</f>
        <v>66211</v>
      </c>
      <c r="G30" s="525">
        <f>+G27-G28</f>
        <v>70478</v>
      </c>
      <c r="H30" s="525"/>
      <c r="I30" s="526">
        <f>+I27-I28</f>
        <v>62350.092</v>
      </c>
      <c r="J30" s="526">
        <f>+J27-J28</f>
        <v>59163</v>
      </c>
      <c r="K30" s="526">
        <f>+K27-K28</f>
        <v>55208.11839999999</v>
      </c>
      <c r="L30" s="479"/>
      <c r="M30" s="479"/>
      <c r="N30" s="479"/>
      <c r="O30" s="479"/>
      <c r="P30" s="479"/>
      <c r="Q30" s="479"/>
      <c r="R30" s="479"/>
      <c r="S30" s="479"/>
      <c r="T30" s="381"/>
    </row>
    <row r="31" spans="2:20" ht="13.5" collapsed="1">
      <c r="B31" s="527"/>
      <c r="C31" s="477"/>
      <c r="D31" s="477"/>
      <c r="E31" s="477"/>
      <c r="F31" s="477"/>
      <c r="G31" s="528"/>
      <c r="H31" s="528"/>
      <c r="I31" s="383">
        <f aca="true" t="shared" si="17" ref="I31:N31">I27/H27-1</f>
        <v>-0.023011927673919796</v>
      </c>
      <c r="J31" s="383">
        <f t="shared" si="17"/>
        <v>-0.05007417895916377</v>
      </c>
      <c r="K31" s="383">
        <f t="shared" si="17"/>
        <v>-0.07279129538880169</v>
      </c>
      <c r="L31" s="383">
        <f t="shared" si="17"/>
        <v>-0.005565963100555127</v>
      </c>
      <c r="M31" s="383">
        <f t="shared" si="17"/>
        <v>0.060174645314379216</v>
      </c>
      <c r="N31" s="383">
        <f t="shared" si="17"/>
        <v>0.022930573196767723</v>
      </c>
      <c r="O31" s="383">
        <f>O27/N27-1</f>
        <v>0.031214086628006843</v>
      </c>
      <c r="P31" s="383">
        <f>P27/O27-1</f>
        <v>0.05555555555555558</v>
      </c>
      <c r="Q31" s="383">
        <f>Q27/P27-1</f>
        <v>0.057473635668604306</v>
      </c>
      <c r="R31" s="383">
        <f>R27/Q27-1</f>
        <v>0.05398271726781356</v>
      </c>
      <c r="S31" s="383">
        <f>S27/R27-1</f>
        <v>0.059035528020643824</v>
      </c>
      <c r="T31" s="383"/>
    </row>
    <row r="32" spans="2:20" ht="13.5" outlineLevel="1">
      <c r="B32" s="502"/>
      <c r="C32" s="568" t="s">
        <v>94</v>
      </c>
      <c r="D32" s="504"/>
      <c r="E32" s="505"/>
      <c r="F32" s="569"/>
      <c r="G32" s="569"/>
      <c r="H32" s="505"/>
      <c r="I32" s="505"/>
      <c r="J32" s="529"/>
      <c r="K32" s="380"/>
      <c r="L32" s="381"/>
      <c r="M32" s="381"/>
      <c r="N32" s="381"/>
      <c r="O32" s="381"/>
      <c r="P32" s="381"/>
      <c r="Q32" s="381"/>
      <c r="R32" s="381"/>
      <c r="S32" s="381"/>
      <c r="T32" s="565"/>
    </row>
    <row r="33" spans="2:20" s="530" customFormat="1" ht="13.5" outlineLevel="1">
      <c r="B33" s="481">
        <v>1</v>
      </c>
      <c r="C33" s="482" t="s">
        <v>71</v>
      </c>
      <c r="D33" s="483" t="s">
        <v>72</v>
      </c>
      <c r="E33" s="484">
        <v>2486</v>
      </c>
      <c r="F33" s="484">
        <v>2230</v>
      </c>
      <c r="G33" s="537">
        <f>446+1812</f>
        <v>2258</v>
      </c>
      <c r="H33" s="537">
        <v>2229.25</v>
      </c>
      <c r="I33" s="570">
        <v>1938.27</v>
      </c>
      <c r="J33" s="538">
        <v>1499.728</v>
      </c>
      <c r="K33" s="538">
        <v>1062</v>
      </c>
      <c r="L33" s="566">
        <v>730.0000000000001</v>
      </c>
      <c r="M33" s="566">
        <v>1000</v>
      </c>
      <c r="N33" s="566">
        <v>1000</v>
      </c>
      <c r="O33" s="566">
        <v>1020</v>
      </c>
      <c r="P33" s="566">
        <v>1040</v>
      </c>
      <c r="Q33" s="566">
        <v>1070</v>
      </c>
      <c r="R33" s="566">
        <v>1100</v>
      </c>
      <c r="S33" s="566">
        <v>1130</v>
      </c>
      <c r="T33" s="372">
        <f>+S33/L33-1</f>
        <v>0.5479452054794518</v>
      </c>
    </row>
    <row r="34" spans="2:20" s="530" customFormat="1" ht="13.5" outlineLevel="1">
      <c r="B34" s="470">
        <v>2</v>
      </c>
      <c r="C34" s="471" t="s">
        <v>73</v>
      </c>
      <c r="D34" s="472" t="s">
        <v>64</v>
      </c>
      <c r="E34" s="490">
        <f>+INT(E35*100000/E33+0.5)/100</f>
        <v>146.06</v>
      </c>
      <c r="F34" s="490">
        <f>F35/F33*1000</f>
        <v>157.39910313901345</v>
      </c>
      <c r="G34" s="497">
        <f>G35/G33*1000</f>
        <v>161.47032772364923</v>
      </c>
      <c r="H34" s="497">
        <v>157.12010765952678</v>
      </c>
      <c r="I34" s="497">
        <v>154.90411552570075</v>
      </c>
      <c r="J34" s="497">
        <v>147.73078851631763</v>
      </c>
      <c r="K34" s="497">
        <f aca="true" t="shared" si="18" ref="K34:S34">K35/K33*1000</f>
        <v>145.00941619585686</v>
      </c>
      <c r="L34" s="497">
        <f t="shared" si="18"/>
        <v>137.6712328767123</v>
      </c>
      <c r="M34" s="497">
        <f t="shared" si="18"/>
        <v>140</v>
      </c>
      <c r="N34" s="497">
        <f t="shared" si="18"/>
        <v>145</v>
      </c>
      <c r="O34" s="497">
        <f t="shared" si="18"/>
        <v>150</v>
      </c>
      <c r="P34" s="497">
        <f t="shared" si="18"/>
        <v>154.80769230769232</v>
      </c>
      <c r="Q34" s="497">
        <f t="shared" si="18"/>
        <v>159.81308411214954</v>
      </c>
      <c r="R34" s="497">
        <f t="shared" si="18"/>
        <v>165.45454545454547</v>
      </c>
      <c r="S34" s="497">
        <f t="shared" si="18"/>
        <v>169.91150442477877</v>
      </c>
      <c r="T34" s="372">
        <f>+S34/L34-1</f>
        <v>0.23418306696605495</v>
      </c>
    </row>
    <row r="35" spans="2:20" s="530" customFormat="1" ht="13.5" outlineLevel="1">
      <c r="B35" s="470">
        <v>3</v>
      </c>
      <c r="C35" s="471" t="s">
        <v>74</v>
      </c>
      <c r="D35" s="472" t="s">
        <v>65</v>
      </c>
      <c r="E35" s="491">
        <v>363.1</v>
      </c>
      <c r="F35" s="491">
        <v>351</v>
      </c>
      <c r="G35" s="497">
        <f>60.2+304.4</f>
        <v>364.59999999999997</v>
      </c>
      <c r="H35" s="497">
        <v>350.26000000000005</v>
      </c>
      <c r="I35" s="492">
        <v>300.243</v>
      </c>
      <c r="J35" s="541">
        <v>221.556</v>
      </c>
      <c r="K35" s="541">
        <v>154</v>
      </c>
      <c r="L35" s="565">
        <v>100.5</v>
      </c>
      <c r="M35" s="565">
        <v>140</v>
      </c>
      <c r="N35" s="565">
        <v>145</v>
      </c>
      <c r="O35" s="565">
        <v>153</v>
      </c>
      <c r="P35" s="565">
        <v>161</v>
      </c>
      <c r="Q35" s="565">
        <v>171</v>
      </c>
      <c r="R35" s="565">
        <v>182</v>
      </c>
      <c r="S35" s="565">
        <v>192</v>
      </c>
      <c r="T35" s="384"/>
    </row>
    <row r="36" spans="2:20" s="530" customFormat="1" ht="13.5" outlineLevel="1">
      <c r="B36" s="470">
        <v>4</v>
      </c>
      <c r="C36" s="471" t="s">
        <v>75</v>
      </c>
      <c r="D36" s="472" t="s">
        <v>67</v>
      </c>
      <c r="E36" s="391">
        <f>5534+16950+247</f>
        <v>22731</v>
      </c>
      <c r="F36" s="391">
        <f>5384+13158+2513+220</f>
        <v>21275</v>
      </c>
      <c r="G36" s="391">
        <f>G40+G39</f>
        <v>18892</v>
      </c>
      <c r="H36" s="391">
        <v>17237</v>
      </c>
      <c r="I36" s="391">
        <v>16323.8128</v>
      </c>
      <c r="J36" s="391">
        <v>12582</v>
      </c>
      <c r="K36" s="391">
        <v>10907.71863</v>
      </c>
      <c r="L36" s="391">
        <v>8450.86</v>
      </c>
      <c r="M36" s="391">
        <f aca="true" t="shared" si="19" ref="M36:S36">M39+M40</f>
        <v>12125</v>
      </c>
      <c r="N36" s="391">
        <f t="shared" si="19"/>
        <v>12558</v>
      </c>
      <c r="O36" s="391">
        <f t="shared" si="19"/>
        <v>13648</v>
      </c>
      <c r="P36" s="391">
        <f t="shared" si="19"/>
        <v>14362</v>
      </c>
      <c r="Q36" s="391">
        <f t="shared" si="19"/>
        <v>15864</v>
      </c>
      <c r="R36" s="391">
        <f t="shared" si="19"/>
        <v>16885</v>
      </c>
      <c r="S36" s="391">
        <f t="shared" si="19"/>
        <v>18526</v>
      </c>
      <c r="T36" s="385"/>
    </row>
    <row r="37" spans="2:20" s="530" customFormat="1" ht="13.5" outlineLevel="1">
      <c r="B37" s="470"/>
      <c r="C37" s="496" t="s">
        <v>76</v>
      </c>
      <c r="D37" s="472" t="s">
        <v>67</v>
      </c>
      <c r="E37" s="376">
        <v>2313</v>
      </c>
      <c r="F37" s="375">
        <v>2558</v>
      </c>
      <c r="G37" s="497">
        <v>2058</v>
      </c>
      <c r="H37" s="375">
        <v>1800</v>
      </c>
      <c r="I37" s="375">
        <v>1660.311</v>
      </c>
      <c r="J37" s="375">
        <v>880</v>
      </c>
      <c r="K37" s="375">
        <v>731.3530000000002</v>
      </c>
      <c r="L37" s="375">
        <v>529</v>
      </c>
      <c r="M37" s="375">
        <v>529</v>
      </c>
      <c r="N37" s="375">
        <v>529</v>
      </c>
      <c r="O37" s="375">
        <v>529</v>
      </c>
      <c r="P37" s="375">
        <v>880.4170000000001</v>
      </c>
      <c r="Q37" s="375">
        <v>880.4170000000001</v>
      </c>
      <c r="R37" s="375">
        <v>880.4170000000001</v>
      </c>
      <c r="S37" s="375">
        <v>880.4170000000001</v>
      </c>
      <c r="T37" s="386"/>
    </row>
    <row r="38" spans="2:20" s="530" customFormat="1" ht="13.5" outlineLevel="1">
      <c r="B38" s="470"/>
      <c r="C38" s="496" t="s">
        <v>77</v>
      </c>
      <c r="D38" s="472" t="s">
        <v>67</v>
      </c>
      <c r="E38" s="376">
        <v>2272</v>
      </c>
      <c r="F38" s="375">
        <v>2513</v>
      </c>
      <c r="G38" s="497">
        <v>2022</v>
      </c>
      <c r="H38" s="375">
        <v>1768</v>
      </c>
      <c r="I38" s="376">
        <v>1631.542</v>
      </c>
      <c r="J38" s="376">
        <v>866</v>
      </c>
      <c r="K38" s="376">
        <v>720.1345</v>
      </c>
      <c r="L38" s="376">
        <v>520</v>
      </c>
      <c r="M38" s="376">
        <v>520</v>
      </c>
      <c r="N38" s="376">
        <v>520</v>
      </c>
      <c r="O38" s="376">
        <v>520</v>
      </c>
      <c r="P38" s="376">
        <v>867</v>
      </c>
      <c r="Q38" s="376">
        <v>867</v>
      </c>
      <c r="R38" s="376">
        <v>867</v>
      </c>
      <c r="S38" s="376">
        <v>867</v>
      </c>
      <c r="T38" s="386"/>
    </row>
    <row r="39" spans="2:20" s="530" customFormat="1" ht="13.5" outlineLevel="1">
      <c r="B39" s="470"/>
      <c r="C39" s="498" t="s">
        <v>78</v>
      </c>
      <c r="D39" s="472" t="s">
        <v>67</v>
      </c>
      <c r="E39" s="376">
        <v>247</v>
      </c>
      <c r="F39" s="375">
        <v>220</v>
      </c>
      <c r="G39" s="497">
        <v>207</v>
      </c>
      <c r="H39" s="375">
        <v>246</v>
      </c>
      <c r="I39" s="375">
        <v>207.0738</v>
      </c>
      <c r="J39" s="375">
        <v>160</v>
      </c>
      <c r="K39" s="375">
        <v>147.08563</v>
      </c>
      <c r="L39" s="375">
        <v>116</v>
      </c>
      <c r="M39" s="375">
        <f aca="true" t="shared" si="20" ref="M39:S39">INT(L39/L40*M40+0.5)</f>
        <v>166</v>
      </c>
      <c r="N39" s="375">
        <f t="shared" si="20"/>
        <v>172</v>
      </c>
      <c r="O39" s="375">
        <f t="shared" si="20"/>
        <v>187</v>
      </c>
      <c r="P39" s="375">
        <f t="shared" si="20"/>
        <v>197</v>
      </c>
      <c r="Q39" s="375">
        <f t="shared" si="20"/>
        <v>218</v>
      </c>
      <c r="R39" s="375">
        <f t="shared" si="20"/>
        <v>232</v>
      </c>
      <c r="S39" s="375">
        <f t="shared" si="20"/>
        <v>255</v>
      </c>
      <c r="T39" s="385"/>
    </row>
    <row r="40" spans="2:21" s="530" customFormat="1" ht="13.5" outlineLevel="1">
      <c r="B40" s="470"/>
      <c r="C40" s="543" t="s">
        <v>66</v>
      </c>
      <c r="D40" s="472" t="s">
        <v>67</v>
      </c>
      <c r="E40" s="500">
        <f>E36-E39</f>
        <v>22484</v>
      </c>
      <c r="F40" s="500">
        <f>F36-F39</f>
        <v>21055</v>
      </c>
      <c r="G40" s="391">
        <f>G41+G38</f>
        <v>18685</v>
      </c>
      <c r="H40" s="391">
        <v>16991</v>
      </c>
      <c r="I40" s="387">
        <v>16116.739000000001</v>
      </c>
      <c r="J40" s="501">
        <v>12422</v>
      </c>
      <c r="K40" s="501">
        <v>10760.633</v>
      </c>
      <c r="L40" s="564">
        <f>L36-L39</f>
        <v>8334.86</v>
      </c>
      <c r="M40" s="567">
        <v>11959</v>
      </c>
      <c r="N40" s="564">
        <v>12386</v>
      </c>
      <c r="O40" s="567">
        <v>13461</v>
      </c>
      <c r="P40" s="567">
        <v>14165</v>
      </c>
      <c r="Q40" s="567">
        <v>15646</v>
      </c>
      <c r="R40" s="567">
        <v>16653</v>
      </c>
      <c r="S40" s="567">
        <v>18271</v>
      </c>
      <c r="T40" s="387">
        <f>+S40-L40</f>
        <v>9936.14</v>
      </c>
      <c r="U40" s="393"/>
    </row>
    <row r="41" spans="2:20" s="530" customFormat="1" ht="13.5" outlineLevel="1">
      <c r="B41" s="470"/>
      <c r="C41" s="543" t="s">
        <v>79</v>
      </c>
      <c r="D41" s="472" t="s">
        <v>67</v>
      </c>
      <c r="E41" s="500">
        <f>E40-E38</f>
        <v>20212</v>
      </c>
      <c r="F41" s="500">
        <f>F40-F38</f>
        <v>18542</v>
      </c>
      <c r="G41" s="391">
        <f>5401+12356-1094</f>
        <v>16663</v>
      </c>
      <c r="H41" s="391">
        <v>15223</v>
      </c>
      <c r="I41" s="500">
        <v>14485.197</v>
      </c>
      <c r="J41" s="500">
        <f>11499+57</f>
        <v>11556</v>
      </c>
      <c r="K41" s="500">
        <v>10040.4985</v>
      </c>
      <c r="L41" s="500">
        <f aca="true" t="shared" si="21" ref="L41:S41">L40-L38</f>
        <v>7814.860000000001</v>
      </c>
      <c r="M41" s="500">
        <f t="shared" si="21"/>
        <v>11439</v>
      </c>
      <c r="N41" s="500">
        <f t="shared" si="21"/>
        <v>11866</v>
      </c>
      <c r="O41" s="500">
        <f t="shared" si="21"/>
        <v>12941</v>
      </c>
      <c r="P41" s="500">
        <f t="shared" si="21"/>
        <v>13298</v>
      </c>
      <c r="Q41" s="500">
        <f t="shared" si="21"/>
        <v>14779</v>
      </c>
      <c r="R41" s="500">
        <f t="shared" si="21"/>
        <v>15786</v>
      </c>
      <c r="S41" s="500">
        <f t="shared" si="21"/>
        <v>17404</v>
      </c>
      <c r="T41" s="378">
        <f>+S40/L40-1</f>
        <v>1.1921184039084038</v>
      </c>
    </row>
    <row r="42" spans="2:21" s="530" customFormat="1" ht="13.5" outlineLevel="1">
      <c r="B42" s="470">
        <v>5</v>
      </c>
      <c r="C42" s="498" t="s">
        <v>80</v>
      </c>
      <c r="D42" s="472" t="s">
        <v>68</v>
      </c>
      <c r="E42" s="379">
        <f>+E40/E35/1000</f>
        <v>0.06192233544478105</v>
      </c>
      <c r="F42" s="379">
        <f>+F40/F35/1000</f>
        <v>0.05998575498575499</v>
      </c>
      <c r="G42" s="379">
        <f>+G40/G35/1000</f>
        <v>0.05124794295117938</v>
      </c>
      <c r="H42" s="379">
        <v>0.04850967852452463</v>
      </c>
      <c r="I42" s="379">
        <v>0.053678447006787776</v>
      </c>
      <c r="J42" s="379">
        <v>0.05607</v>
      </c>
      <c r="K42" s="379">
        <v>0.06985706630824394</v>
      </c>
      <c r="L42" s="379">
        <f aca="true" t="shared" si="22" ref="L42:S42">L40/(L35*1000)</f>
        <v>0.08293393034825872</v>
      </c>
      <c r="M42" s="379">
        <f t="shared" si="22"/>
        <v>0.08542142857142856</v>
      </c>
      <c r="N42" s="379">
        <f t="shared" si="22"/>
        <v>0.08542068965517241</v>
      </c>
      <c r="O42" s="379">
        <f t="shared" si="22"/>
        <v>0.08798039215686275</v>
      </c>
      <c r="P42" s="379">
        <f t="shared" si="22"/>
        <v>0.08798136645962733</v>
      </c>
      <c r="Q42" s="379">
        <f t="shared" si="22"/>
        <v>0.09149707602339181</v>
      </c>
      <c r="R42" s="379">
        <f t="shared" si="22"/>
        <v>0.0915</v>
      </c>
      <c r="S42" s="379">
        <f t="shared" si="22"/>
        <v>0.09516145833333334</v>
      </c>
      <c r="T42" s="388"/>
      <c r="U42" s="371"/>
    </row>
    <row r="43" spans="2:21" s="530" customFormat="1" ht="13.5" outlineLevel="1">
      <c r="B43" s="502" t="s">
        <v>81</v>
      </c>
      <c r="C43" s="503" t="s">
        <v>82</v>
      </c>
      <c r="D43" s="504" t="s">
        <v>68</v>
      </c>
      <c r="E43" s="505">
        <f>(E40-E37)/E35/1000</f>
        <v>0.055552189479482234</v>
      </c>
      <c r="F43" s="505">
        <f>(F40-F37)/F35/1000</f>
        <v>0.0526980056980057</v>
      </c>
      <c r="G43" s="505">
        <f>(G40-G37)/G35/1000</f>
        <v>0.04560340098738344</v>
      </c>
      <c r="H43" s="505">
        <v>0.04337063895391994</v>
      </c>
      <c r="I43" s="505">
        <v>0.04814861147192637</v>
      </c>
      <c r="J43" s="505">
        <v>0.05216</v>
      </c>
      <c r="K43" s="505">
        <v>0.06510918809181065</v>
      </c>
      <c r="L43" s="505">
        <f aca="true" t="shared" si="23" ref="L43:S43">(L40-L38)/L35/1000</f>
        <v>0.07775980099502487</v>
      </c>
      <c r="M43" s="505">
        <f t="shared" si="23"/>
        <v>0.08170714285714285</v>
      </c>
      <c r="N43" s="505">
        <f t="shared" si="23"/>
        <v>0.0818344827586207</v>
      </c>
      <c r="O43" s="505">
        <f t="shared" si="23"/>
        <v>0.08458169934640523</v>
      </c>
      <c r="P43" s="505">
        <f t="shared" si="23"/>
        <v>0.08259627329192547</v>
      </c>
      <c r="Q43" s="505">
        <f t="shared" si="23"/>
        <v>0.08642690058479532</v>
      </c>
      <c r="R43" s="505">
        <f t="shared" si="23"/>
        <v>0.08673626373626374</v>
      </c>
      <c r="S43" s="505">
        <f t="shared" si="23"/>
        <v>0.09064583333333333</v>
      </c>
      <c r="T43" s="389"/>
      <c r="U43" s="494"/>
    </row>
    <row r="44" spans="2:20" ht="13.5" outlineLevel="1">
      <c r="B44" s="531"/>
      <c r="C44" s="532"/>
      <c r="D44" s="532"/>
      <c r="E44" s="532"/>
      <c r="F44" s="532"/>
      <c r="G44" s="532"/>
      <c r="H44" s="532"/>
      <c r="I44" s="390">
        <f aca="true" t="shared" si="24" ref="I44:N44">I42/H42-1</f>
        <v>0.1065512829496491</v>
      </c>
      <c r="J44" s="390">
        <f t="shared" si="24"/>
        <v>0.044553319378070055</v>
      </c>
      <c r="K44" s="390">
        <f t="shared" si="24"/>
        <v>0.24589024983491958</v>
      </c>
      <c r="L44" s="390">
        <f t="shared" si="24"/>
        <v>0.18719457788727034</v>
      </c>
      <c r="M44" s="390">
        <f t="shared" si="24"/>
        <v>0.029993733719410942</v>
      </c>
      <c r="N44" s="390">
        <f t="shared" si="24"/>
        <v>-8.650244657681938E-06</v>
      </c>
      <c r="O44" s="390">
        <f>O42/N42-1</f>
        <v>0.029965837457217814</v>
      </c>
      <c r="P44" s="390">
        <f>P42/O42-1</f>
        <v>1.1074089813600807E-05</v>
      </c>
      <c r="Q44" s="390">
        <f>Q42/P42-1</f>
        <v>0.03995970630187662</v>
      </c>
      <c r="R44" s="390">
        <f>R42/Q42-1</f>
        <v>3.19570497251398E-05</v>
      </c>
      <c r="S44" s="390">
        <f>S42/R42-1</f>
        <v>0.04001593806921688</v>
      </c>
      <c r="T44" s="390"/>
    </row>
    <row r="45" spans="2:20" ht="13.5" outlineLevel="1">
      <c r="B45" s="470"/>
      <c r="C45" s="533" t="s">
        <v>95</v>
      </c>
      <c r="D45" s="472"/>
      <c r="E45" s="380"/>
      <c r="F45" s="534"/>
      <c r="G45" s="535"/>
      <c r="H45" s="536"/>
      <c r="I45" s="380"/>
      <c r="J45" s="376"/>
      <c r="K45" s="376"/>
      <c r="L45" s="390">
        <f aca="true" t="shared" si="25" ref="L45:S45">+L46/K46-1</f>
        <v>0.02990850915757126</v>
      </c>
      <c r="M45" s="390">
        <f t="shared" si="25"/>
        <v>0</v>
      </c>
      <c r="N45" s="390">
        <f t="shared" si="25"/>
        <v>0</v>
      </c>
      <c r="O45" s="390">
        <f t="shared" si="25"/>
        <v>0</v>
      </c>
      <c r="P45" s="390">
        <f t="shared" si="25"/>
        <v>0.030078285949732164</v>
      </c>
      <c r="Q45" s="390">
        <f t="shared" si="25"/>
        <v>0.03200000000000003</v>
      </c>
      <c r="R45" s="390">
        <f t="shared" si="25"/>
        <v>0.03100775193798455</v>
      </c>
      <c r="S45" s="390">
        <f t="shared" si="25"/>
        <v>0.03007518796992481</v>
      </c>
      <c r="T45" s="390"/>
    </row>
    <row r="46" spans="2:20" ht="13.5" outlineLevel="1">
      <c r="B46" s="481">
        <v>1</v>
      </c>
      <c r="C46" s="482" t="s">
        <v>71</v>
      </c>
      <c r="D46" s="483" t="s">
        <v>72</v>
      </c>
      <c r="E46" s="484">
        <v>31271.8</v>
      </c>
      <c r="F46" s="484">
        <v>29564</v>
      </c>
      <c r="G46" s="537">
        <v>27857</v>
      </c>
      <c r="H46" s="537">
        <v>27078.7</v>
      </c>
      <c r="I46" s="538">
        <v>24584.927</v>
      </c>
      <c r="J46" s="538">
        <v>24571.676</v>
      </c>
      <c r="K46" s="485">
        <v>23565.2</v>
      </c>
      <c r="L46" s="566">
        <v>24270</v>
      </c>
      <c r="M46" s="566">
        <v>24270</v>
      </c>
      <c r="N46" s="566">
        <v>24270</v>
      </c>
      <c r="O46" s="566">
        <v>24270</v>
      </c>
      <c r="P46" s="566">
        <v>25000</v>
      </c>
      <c r="Q46" s="566">
        <v>25800</v>
      </c>
      <c r="R46" s="566">
        <v>26600</v>
      </c>
      <c r="S46" s="566">
        <v>27400</v>
      </c>
      <c r="T46" s="372">
        <f>+S46/L46-1</f>
        <v>0.12896580140090652</v>
      </c>
    </row>
    <row r="47" spans="2:21" ht="13.5" outlineLevel="1">
      <c r="B47" s="470">
        <v>2</v>
      </c>
      <c r="C47" s="471" t="s">
        <v>73</v>
      </c>
      <c r="D47" s="472" t="s">
        <v>64</v>
      </c>
      <c r="E47" s="529">
        <f>+INT(E48*100000/E46+0.5)/100</f>
        <v>63.05</v>
      </c>
      <c r="F47" s="529">
        <f>+INT(F48*100000/F46+0.5)/100</f>
        <v>62.41</v>
      </c>
      <c r="G47" s="539">
        <f>+INT(G48*100000/G46+0.5)/100</f>
        <v>62.5</v>
      </c>
      <c r="H47" s="539">
        <v>63.42</v>
      </c>
      <c r="I47" s="529">
        <v>64.09</v>
      </c>
      <c r="J47" s="529">
        <v>65.32</v>
      </c>
      <c r="K47" s="529">
        <v>65.9</v>
      </c>
      <c r="L47" s="529">
        <f aca="true" t="shared" si="26" ref="L47:S47">+INT(L48*100000/L46+0.5)/100</f>
        <v>67.53</v>
      </c>
      <c r="M47" s="529">
        <f t="shared" si="26"/>
        <v>67.49</v>
      </c>
      <c r="N47" s="529">
        <f t="shared" si="26"/>
        <v>68.19</v>
      </c>
      <c r="O47" s="529">
        <f t="shared" si="26"/>
        <v>68.89</v>
      </c>
      <c r="P47" s="529">
        <f t="shared" si="26"/>
        <v>69.6</v>
      </c>
      <c r="Q47" s="529">
        <f t="shared" si="26"/>
        <v>70.31</v>
      </c>
      <c r="R47" s="529">
        <f t="shared" si="26"/>
        <v>71.02</v>
      </c>
      <c r="S47" s="529">
        <f t="shared" si="26"/>
        <v>71.72</v>
      </c>
      <c r="T47" s="372">
        <f>+S47/L47-1</f>
        <v>0.06204649785280614</v>
      </c>
      <c r="U47" s="540"/>
    </row>
    <row r="48" spans="2:20" ht="13.5" outlineLevel="1">
      <c r="B48" s="470">
        <v>3</v>
      </c>
      <c r="C48" s="471" t="s">
        <v>74</v>
      </c>
      <c r="D48" s="472" t="s">
        <v>65</v>
      </c>
      <c r="E48" s="497">
        <v>1971.8</v>
      </c>
      <c r="F48" s="491">
        <v>1845</v>
      </c>
      <c r="G48" s="497">
        <v>1741</v>
      </c>
      <c r="H48" s="497">
        <v>1717.2</v>
      </c>
      <c r="I48" s="541">
        <v>1575.7069999999999</v>
      </c>
      <c r="J48" s="541">
        <v>1604.36</v>
      </c>
      <c r="K48" s="542">
        <v>1548.2</v>
      </c>
      <c r="L48" s="565">
        <v>1639</v>
      </c>
      <c r="M48" s="565">
        <v>1638</v>
      </c>
      <c r="N48" s="565">
        <v>1655</v>
      </c>
      <c r="O48" s="565">
        <v>1672</v>
      </c>
      <c r="P48" s="565">
        <v>1740</v>
      </c>
      <c r="Q48" s="565">
        <v>1814</v>
      </c>
      <c r="R48" s="565">
        <v>1889</v>
      </c>
      <c r="S48" s="565">
        <v>1965</v>
      </c>
      <c r="T48" s="391"/>
    </row>
    <row r="49" spans="2:20" ht="13.5" outlineLevel="1">
      <c r="B49" s="470">
        <v>4</v>
      </c>
      <c r="C49" s="471" t="s">
        <v>75</v>
      </c>
      <c r="D49" s="472" t="s">
        <v>67</v>
      </c>
      <c r="E49" s="391">
        <f aca="true" t="shared" si="27" ref="E49:F52">E13-E36</f>
        <v>67923</v>
      </c>
      <c r="F49" s="391">
        <f t="shared" si="27"/>
        <v>63224</v>
      </c>
      <c r="G49" s="391">
        <f>G53+G52</f>
        <v>69776</v>
      </c>
      <c r="H49" s="391">
        <v>64588</v>
      </c>
      <c r="I49" s="391">
        <v>64330.529</v>
      </c>
      <c r="J49" s="391">
        <v>64203</v>
      </c>
      <c r="K49" s="391">
        <v>60311.28690000001</v>
      </c>
      <c r="L49" s="391">
        <v>62323.62</v>
      </c>
      <c r="M49" s="391">
        <f aca="true" t="shared" si="28" ref="M49:S49">M53+M52</f>
        <v>62917</v>
      </c>
      <c r="N49" s="391">
        <f t="shared" si="28"/>
        <v>64206</v>
      </c>
      <c r="O49" s="391">
        <f t="shared" si="28"/>
        <v>65513</v>
      </c>
      <c r="P49" s="391">
        <f t="shared" si="28"/>
        <v>69201</v>
      </c>
      <c r="Q49" s="391">
        <f t="shared" si="28"/>
        <v>72504</v>
      </c>
      <c r="R49" s="391">
        <f t="shared" si="28"/>
        <v>76257</v>
      </c>
      <c r="S49" s="391">
        <f t="shared" si="28"/>
        <v>80118</v>
      </c>
      <c r="T49" s="375"/>
    </row>
    <row r="50" spans="2:20" ht="13.5" outlineLevel="1">
      <c r="B50" s="470"/>
      <c r="C50" s="496" t="s">
        <v>76</v>
      </c>
      <c r="D50" s="472" t="s">
        <v>67</v>
      </c>
      <c r="E50" s="376">
        <f t="shared" si="27"/>
        <v>16825</v>
      </c>
      <c r="F50" s="376">
        <f t="shared" si="27"/>
        <v>15904</v>
      </c>
      <c r="G50" s="497">
        <v>16031</v>
      </c>
      <c r="H50" s="375">
        <v>16199</v>
      </c>
      <c r="I50" s="375">
        <v>15900.992000000002</v>
      </c>
      <c r="J50" s="375">
        <v>15916</v>
      </c>
      <c r="K50" s="375">
        <v>14488.643999999998</v>
      </c>
      <c r="L50" s="375">
        <v>15877</v>
      </c>
      <c r="M50" s="375">
        <v>15877</v>
      </c>
      <c r="N50" s="375">
        <v>15877</v>
      </c>
      <c r="O50" s="375">
        <v>15877</v>
      </c>
      <c r="P50" s="375">
        <f>P14-P37</f>
        <v>17452.91633333333</v>
      </c>
      <c r="Q50" s="375">
        <f>Q14-Q37</f>
        <v>17452.91633333333</v>
      </c>
      <c r="R50" s="375">
        <f>R14-R37</f>
        <v>17452.91633333333</v>
      </c>
      <c r="S50" s="375">
        <f>S14-S37</f>
        <v>17452.91633333333</v>
      </c>
      <c r="T50" s="376"/>
    </row>
    <row r="51" spans="2:20" ht="13.5" outlineLevel="1">
      <c r="B51" s="470"/>
      <c r="C51" s="496" t="s">
        <v>77</v>
      </c>
      <c r="D51" s="472" t="s">
        <v>67</v>
      </c>
      <c r="E51" s="376">
        <f t="shared" si="27"/>
        <v>16527</v>
      </c>
      <c r="F51" s="376">
        <f t="shared" si="27"/>
        <v>15623</v>
      </c>
      <c r="G51" s="497">
        <v>15748</v>
      </c>
      <c r="H51" s="375">
        <v>15913</v>
      </c>
      <c r="I51" s="376">
        <v>15716.168</v>
      </c>
      <c r="J51" s="376">
        <v>15678</v>
      </c>
      <c r="K51" s="376">
        <v>14267.9365</v>
      </c>
      <c r="L51" s="376">
        <v>15655</v>
      </c>
      <c r="M51" s="376">
        <v>15655</v>
      </c>
      <c r="N51" s="376">
        <v>15655</v>
      </c>
      <c r="O51" s="376">
        <v>15655</v>
      </c>
      <c r="P51" s="376">
        <f>INT(P50/1015*1000+0.5)</f>
        <v>17195</v>
      </c>
      <c r="Q51" s="376">
        <f>INT(Q50/1015*1000+0.5)</f>
        <v>17195</v>
      </c>
      <c r="R51" s="376">
        <f>INT(R50/1015*1000+0.5)</f>
        <v>17195</v>
      </c>
      <c r="S51" s="376">
        <f>INT(S50/1015*1000+0.5)</f>
        <v>17195</v>
      </c>
      <c r="T51" s="375"/>
    </row>
    <row r="52" spans="2:20" ht="13.5" outlineLevel="1">
      <c r="B52" s="470"/>
      <c r="C52" s="498" t="s">
        <v>78</v>
      </c>
      <c r="D52" s="472" t="s">
        <v>67</v>
      </c>
      <c r="E52" s="376">
        <f t="shared" si="27"/>
        <v>1297</v>
      </c>
      <c r="F52" s="376">
        <f t="shared" si="27"/>
        <v>1217</v>
      </c>
      <c r="G52" s="497">
        <v>1307</v>
      </c>
      <c r="H52" s="375">
        <v>777</v>
      </c>
      <c r="I52" s="375">
        <v>811.4659999999999</v>
      </c>
      <c r="J52" s="375">
        <v>978</v>
      </c>
      <c r="K52" s="375">
        <v>935.7305</v>
      </c>
      <c r="L52" s="375">
        <v>913</v>
      </c>
      <c r="M52" s="375">
        <f aca="true" t="shared" si="29" ref="M52:S52">INT(M53*0.015+0.5)</f>
        <v>930</v>
      </c>
      <c r="N52" s="375">
        <f t="shared" si="29"/>
        <v>949</v>
      </c>
      <c r="O52" s="375">
        <f t="shared" si="29"/>
        <v>968</v>
      </c>
      <c r="P52" s="375">
        <f t="shared" si="29"/>
        <v>1023</v>
      </c>
      <c r="Q52" s="375">
        <f t="shared" si="29"/>
        <v>1071</v>
      </c>
      <c r="R52" s="375">
        <f t="shared" si="29"/>
        <v>1127</v>
      </c>
      <c r="S52" s="375">
        <f t="shared" si="29"/>
        <v>1184</v>
      </c>
      <c r="T52" s="375"/>
    </row>
    <row r="53" spans="2:21" ht="13.5" outlineLevel="1">
      <c r="B53" s="470"/>
      <c r="C53" s="543" t="s">
        <v>66</v>
      </c>
      <c r="D53" s="472" t="s">
        <v>67</v>
      </c>
      <c r="E53" s="500">
        <f>E49-E52</f>
        <v>66626</v>
      </c>
      <c r="F53" s="500">
        <f>F49-F52</f>
        <v>62007</v>
      </c>
      <c r="G53" s="391">
        <f>+G54+G51</f>
        <v>68469</v>
      </c>
      <c r="H53" s="374">
        <v>63811</v>
      </c>
      <c r="I53" s="501">
        <v>63519.063</v>
      </c>
      <c r="J53" s="501">
        <v>63225</v>
      </c>
      <c r="K53" s="544">
        <v>59375.556399999994</v>
      </c>
      <c r="L53" s="565">
        <f>L49-L52</f>
        <v>61410.62</v>
      </c>
      <c r="M53" s="564">
        <v>61987</v>
      </c>
      <c r="N53" s="564">
        <v>63257</v>
      </c>
      <c r="O53" s="564">
        <v>64545</v>
      </c>
      <c r="P53" s="564">
        <v>68178</v>
      </c>
      <c r="Q53" s="564">
        <v>71433</v>
      </c>
      <c r="R53" s="564">
        <v>75130</v>
      </c>
      <c r="S53" s="564">
        <v>78934</v>
      </c>
      <c r="T53" s="377">
        <f>+S53-L53</f>
        <v>17523.379999999997</v>
      </c>
      <c r="U53" s="393"/>
    </row>
    <row r="54" spans="2:20" ht="13.5" outlineLevel="1">
      <c r="B54" s="470"/>
      <c r="C54" s="543" t="s">
        <v>79</v>
      </c>
      <c r="D54" s="472" t="s">
        <v>67</v>
      </c>
      <c r="E54" s="500">
        <f>E53-E51</f>
        <v>50099</v>
      </c>
      <c r="F54" s="500">
        <f>F53-F51</f>
        <v>46384</v>
      </c>
      <c r="G54" s="391">
        <v>52721</v>
      </c>
      <c r="H54" s="500">
        <v>47898</v>
      </c>
      <c r="I54" s="500">
        <v>47802.895000000004</v>
      </c>
      <c r="J54" s="500">
        <v>47547</v>
      </c>
      <c r="K54" s="500">
        <v>45107.619900000005</v>
      </c>
      <c r="L54" s="500">
        <f aca="true" t="shared" si="30" ref="L54:S54">L53-L51</f>
        <v>45755.62</v>
      </c>
      <c r="M54" s="500">
        <f t="shared" si="30"/>
        <v>46332</v>
      </c>
      <c r="N54" s="500">
        <f t="shared" si="30"/>
        <v>47602</v>
      </c>
      <c r="O54" s="500">
        <f t="shared" si="30"/>
        <v>48890</v>
      </c>
      <c r="P54" s="500">
        <f t="shared" si="30"/>
        <v>50983</v>
      </c>
      <c r="Q54" s="500">
        <f t="shared" si="30"/>
        <v>54238</v>
      </c>
      <c r="R54" s="500">
        <f t="shared" si="30"/>
        <v>57935</v>
      </c>
      <c r="S54" s="500">
        <f t="shared" si="30"/>
        <v>61739</v>
      </c>
      <c r="T54" s="378">
        <f>+S53/L53-1</f>
        <v>0.28534771347366306</v>
      </c>
    </row>
    <row r="55" spans="2:20" ht="13.5" outlineLevel="1">
      <c r="B55" s="470">
        <v>5</v>
      </c>
      <c r="C55" s="498" t="s">
        <v>80</v>
      </c>
      <c r="D55" s="472" t="s">
        <v>68</v>
      </c>
      <c r="E55" s="379">
        <f>+E53/E48/1000</f>
        <v>0.03378943097677249</v>
      </c>
      <c r="F55" s="379">
        <f>+F53/F48/1000</f>
        <v>0.03360813008130081</v>
      </c>
      <c r="G55" s="379">
        <f>+G53/G48/1000</f>
        <v>0.039327398047099366</v>
      </c>
      <c r="H55" s="379">
        <v>0.03715991148381085</v>
      </c>
      <c r="I55" s="379">
        <v>0.04031146843924664</v>
      </c>
      <c r="J55" s="379">
        <v>0.03941</v>
      </c>
      <c r="K55" s="379">
        <v>0.03835055495558805</v>
      </c>
      <c r="L55" s="379">
        <f aca="true" t="shared" si="31" ref="L55:S55">L53/(L48*1000)</f>
        <v>0.03746834655277608</v>
      </c>
      <c r="M55" s="379">
        <f t="shared" si="31"/>
        <v>0.03784310134310134</v>
      </c>
      <c r="N55" s="379">
        <f t="shared" si="31"/>
        <v>0.038221752265861025</v>
      </c>
      <c r="O55" s="379">
        <f t="shared" si="31"/>
        <v>0.03860346889952153</v>
      </c>
      <c r="P55" s="379">
        <f t="shared" si="31"/>
        <v>0.03918275862068966</v>
      </c>
      <c r="Q55" s="379">
        <f t="shared" si="31"/>
        <v>0.0393787210584344</v>
      </c>
      <c r="R55" s="379">
        <f t="shared" si="31"/>
        <v>0.03977236633139227</v>
      </c>
      <c r="S55" s="379">
        <f t="shared" si="31"/>
        <v>0.04016997455470738</v>
      </c>
      <c r="T55" s="379"/>
    </row>
    <row r="56" spans="2:21" ht="13.5" outlineLevel="1">
      <c r="B56" s="502" t="s">
        <v>81</v>
      </c>
      <c r="C56" s="503" t="s">
        <v>82</v>
      </c>
      <c r="D56" s="504" t="s">
        <v>68</v>
      </c>
      <c r="E56" s="505">
        <f>(E53-E50)/E48/1000</f>
        <v>0.02525661831828786</v>
      </c>
      <c r="F56" s="505">
        <f>(F53-F50)/F48/1000</f>
        <v>0.024988075880758808</v>
      </c>
      <c r="G56" s="505">
        <f>(G53-G50)/G48/1000</f>
        <v>0.03011947156806433</v>
      </c>
      <c r="H56" s="505">
        <v>0.02772653156300955</v>
      </c>
      <c r="I56" s="505">
        <v>0.030220130392262016</v>
      </c>
      <c r="J56" s="505">
        <v>0.02949</v>
      </c>
      <c r="K56" s="505">
        <v>0.028992368327227437</v>
      </c>
      <c r="L56" s="505">
        <f aca="true" t="shared" si="32" ref="L56:S56">(L53-L50)/L48/1000</f>
        <v>0.027781342281879198</v>
      </c>
      <c r="M56" s="505">
        <f t="shared" si="32"/>
        <v>0.02815018315018315</v>
      </c>
      <c r="N56" s="505">
        <f t="shared" si="32"/>
        <v>0.028628398791540787</v>
      </c>
      <c r="O56" s="505">
        <f t="shared" si="32"/>
        <v>0.029107655502392343</v>
      </c>
      <c r="P56" s="505">
        <f t="shared" si="32"/>
        <v>0.029152346934865903</v>
      </c>
      <c r="Q56" s="505">
        <f t="shared" si="32"/>
        <v>0.029757488239617793</v>
      </c>
      <c r="R56" s="505">
        <f t="shared" si="32"/>
        <v>0.03053313058055409</v>
      </c>
      <c r="S56" s="505">
        <f t="shared" si="32"/>
        <v>0.031288083290924515</v>
      </c>
      <c r="T56" s="380"/>
      <c r="U56" s="494"/>
    </row>
    <row r="57" spans="2:20" ht="13.5">
      <c r="B57" s="531"/>
      <c r="C57" s="532"/>
      <c r="D57" s="532"/>
      <c r="E57" s="545"/>
      <c r="F57" s="545"/>
      <c r="G57" s="532"/>
      <c r="H57" s="532"/>
      <c r="I57" s="390">
        <f aca="true" t="shared" si="33" ref="I57:N57">I55/H55-1</f>
        <v>0.08481066906762691</v>
      </c>
      <c r="J57" s="546">
        <f t="shared" si="33"/>
        <v>-0.02236258003365077</v>
      </c>
      <c r="K57" s="546">
        <f t="shared" si="33"/>
        <v>-0.02688264512590588</v>
      </c>
      <c r="L57" s="390">
        <f t="shared" si="33"/>
        <v>-0.02300379756782167</v>
      </c>
      <c r="M57" s="390">
        <f t="shared" si="33"/>
        <v>0.010001903601414508</v>
      </c>
      <c r="N57" s="390">
        <f t="shared" si="33"/>
        <v>0.010005811081038818</v>
      </c>
      <c r="O57" s="390">
        <f>O55/N55-1</f>
        <v>0.009986895184851186</v>
      </c>
      <c r="P57" s="390">
        <f>P55/O55-1</f>
        <v>0.015006157158464761</v>
      </c>
      <c r="Q57" s="390">
        <f>Q55/P55-1</f>
        <v>0.005001241480768748</v>
      </c>
      <c r="R57" s="390">
        <f>R55/Q55-1</f>
        <v>0.009996395575512462</v>
      </c>
      <c r="S57" s="390">
        <f>S55/R55-1</f>
        <v>0.009997097482260742</v>
      </c>
      <c r="T57" s="390"/>
    </row>
    <row r="58" spans="2:20" ht="13.5">
      <c r="B58" s="531"/>
      <c r="C58" s="532"/>
      <c r="D58" s="532"/>
      <c r="E58" s="532"/>
      <c r="F58" s="532"/>
      <c r="G58" s="532"/>
      <c r="H58" s="532"/>
      <c r="I58" s="547"/>
      <c r="J58" s="381"/>
      <c r="K58" s="381"/>
      <c r="L58" s="381"/>
      <c r="M58" s="383"/>
      <c r="N58" s="383"/>
      <c r="O58" s="383"/>
      <c r="P58" s="390"/>
      <c r="Q58" s="390"/>
      <c r="R58" s="383"/>
      <c r="S58" s="383"/>
      <c r="T58" s="381"/>
    </row>
    <row r="59" spans="12:13" ht="13.5">
      <c r="L59" s="624"/>
      <c r="M59" s="626"/>
    </row>
  </sheetData>
  <sheetProtection/>
  <printOptions/>
  <pageMargins left="0.2755905511811024" right="0.1968503937007874" top="0.49" bottom="0.25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K1">
      <selection activeCell="D37" sqref="D37"/>
    </sheetView>
  </sheetViews>
  <sheetFormatPr defaultColWidth="9.140625" defaultRowHeight="12.75" outlineLevelRow="1" outlineLevelCol="1"/>
  <cols>
    <col min="1" max="1" width="1.8515625" style="18" customWidth="1"/>
    <col min="2" max="2" width="32.57421875" style="18" customWidth="1"/>
    <col min="3" max="3" width="12.7109375" style="18" customWidth="1"/>
    <col min="4" max="4" width="12.8515625" style="18" customWidth="1"/>
    <col min="5" max="7" width="12.00390625" style="18" customWidth="1"/>
    <col min="8" max="13" width="12.140625" style="18" customWidth="1"/>
    <col min="14" max="14" width="11.7109375" style="18" hidden="1" customWidth="1" outlineLevel="1"/>
    <col min="15" max="15" width="9.140625" style="18" hidden="1" customWidth="1" outlineLevel="1"/>
    <col min="16" max="16" width="11.57421875" style="18" hidden="1" customWidth="1" outlineLevel="1"/>
    <col min="17" max="17" width="10.00390625" style="18" customWidth="1" collapsed="1"/>
    <col min="18" max="18" width="2.421875" style="18" customWidth="1"/>
    <col min="19" max="19" width="30.57421875" style="18" customWidth="1"/>
    <col min="20" max="20" width="10.28125" style="18" customWidth="1"/>
    <col min="21" max="24" width="12.421875" style="18" customWidth="1"/>
    <col min="25" max="30" width="12.7109375" style="18" customWidth="1"/>
    <col min="31" max="16384" width="9.140625" style="18" customWidth="1"/>
  </cols>
  <sheetData>
    <row r="1" ht="13.5">
      <c r="K1" s="468" t="s">
        <v>620</v>
      </c>
    </row>
    <row r="2" spans="1:28" ht="13.5">
      <c r="A2" s="15"/>
      <c r="B2" s="16"/>
      <c r="C2" s="17"/>
      <c r="D2" s="637"/>
      <c r="E2" s="637"/>
      <c r="F2" s="637"/>
      <c r="G2" s="637"/>
      <c r="H2" s="637"/>
      <c r="I2" s="637"/>
      <c r="J2" s="637"/>
      <c r="K2" s="637"/>
      <c r="L2" s="637"/>
      <c r="M2" s="637"/>
      <c r="AB2" s="468" t="s">
        <v>620</v>
      </c>
    </row>
    <row r="3" spans="1:30" ht="13.5">
      <c r="A3" s="788" t="s">
        <v>256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U3" s="638"/>
      <c r="V3" s="638"/>
      <c r="W3" s="638"/>
      <c r="X3" s="638"/>
      <c r="Y3" s="638"/>
      <c r="Z3" s="638"/>
      <c r="AA3" s="638"/>
      <c r="AB3" s="638"/>
      <c r="AC3" s="638"/>
      <c r="AD3" s="638"/>
    </row>
    <row r="4" spans="1:18" ht="13.5">
      <c r="A4" s="788" t="s">
        <v>257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R4" s="571" t="s">
        <v>319</v>
      </c>
    </row>
    <row r="5" spans="1:14" ht="13.5">
      <c r="A5" s="787" t="s">
        <v>317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</row>
    <row r="7" spans="1:30" ht="13.5">
      <c r="A7" s="572"/>
      <c r="B7" s="573"/>
      <c r="C7" s="574"/>
      <c r="D7" s="575"/>
      <c r="E7" s="575" t="s">
        <v>258</v>
      </c>
      <c r="F7" s="575" t="s">
        <v>315</v>
      </c>
      <c r="G7" s="575" t="s">
        <v>315</v>
      </c>
      <c r="H7" s="575" t="s">
        <v>315</v>
      </c>
      <c r="I7" s="575" t="s">
        <v>315</v>
      </c>
      <c r="J7" s="575" t="s">
        <v>315</v>
      </c>
      <c r="K7" s="575" t="s">
        <v>315</v>
      </c>
      <c r="L7" s="575" t="s">
        <v>315</v>
      </c>
      <c r="M7" s="575" t="s">
        <v>315</v>
      </c>
      <c r="N7" s="785" t="s">
        <v>62</v>
      </c>
      <c r="O7" s="786"/>
      <c r="R7" s="572"/>
      <c r="S7" s="573"/>
      <c r="T7" s="574"/>
      <c r="U7" s="575"/>
      <c r="V7" s="575" t="s">
        <v>258</v>
      </c>
      <c r="W7" s="575" t="s">
        <v>315</v>
      </c>
      <c r="X7" s="575" t="s">
        <v>315</v>
      </c>
      <c r="Y7" s="575" t="s">
        <v>315</v>
      </c>
      <c r="Z7" s="575" t="s">
        <v>315</v>
      </c>
      <c r="AA7" s="575" t="s">
        <v>315</v>
      </c>
      <c r="AB7" s="575" t="s">
        <v>315</v>
      </c>
      <c r="AC7" s="575" t="s">
        <v>315</v>
      </c>
      <c r="AD7" s="575" t="s">
        <v>315</v>
      </c>
    </row>
    <row r="8" spans="1:30" ht="13.5">
      <c r="A8" s="576"/>
      <c r="B8" s="577" t="s">
        <v>259</v>
      </c>
      <c r="C8" s="578" t="s">
        <v>59</v>
      </c>
      <c r="D8" s="579" t="s">
        <v>3</v>
      </c>
      <c r="E8" s="579" t="s">
        <v>10</v>
      </c>
      <c r="F8" s="580"/>
      <c r="G8" s="580"/>
      <c r="H8" s="580"/>
      <c r="I8" s="580"/>
      <c r="J8" s="580"/>
      <c r="K8" s="580"/>
      <c r="L8" s="580"/>
      <c r="M8" s="580"/>
      <c r="N8" s="581"/>
      <c r="O8" s="582"/>
      <c r="R8" s="576"/>
      <c r="S8" s="577" t="s">
        <v>259</v>
      </c>
      <c r="T8" s="578" t="s">
        <v>59</v>
      </c>
      <c r="U8" s="579" t="s">
        <v>3</v>
      </c>
      <c r="V8" s="579" t="s">
        <v>10</v>
      </c>
      <c r="W8" s="580"/>
      <c r="X8" s="580"/>
      <c r="Y8" s="580"/>
      <c r="Z8" s="580"/>
      <c r="AA8" s="580"/>
      <c r="AB8" s="580"/>
      <c r="AC8" s="580"/>
      <c r="AD8" s="580"/>
    </row>
    <row r="9" spans="1:30" ht="13.5">
      <c r="A9" s="583"/>
      <c r="B9" s="584"/>
      <c r="C9" s="584"/>
      <c r="D9" s="585">
        <v>2013</v>
      </c>
      <c r="E9" s="585">
        <v>2014</v>
      </c>
      <c r="F9" s="585">
        <v>2015</v>
      </c>
      <c r="G9" s="585">
        <v>2016</v>
      </c>
      <c r="H9" s="585">
        <v>2017</v>
      </c>
      <c r="I9" s="585">
        <v>2018</v>
      </c>
      <c r="J9" s="585">
        <v>2019</v>
      </c>
      <c r="K9" s="585">
        <v>2020</v>
      </c>
      <c r="L9" s="585">
        <v>2021</v>
      </c>
      <c r="M9" s="585">
        <v>2022</v>
      </c>
      <c r="N9" s="586" t="s">
        <v>260</v>
      </c>
      <c r="O9" s="587" t="s">
        <v>261</v>
      </c>
      <c r="R9" s="583"/>
      <c r="S9" s="584"/>
      <c r="T9" s="584"/>
      <c r="U9" s="585">
        <v>2013</v>
      </c>
      <c r="V9" s="585">
        <v>2014</v>
      </c>
      <c r="W9" s="585">
        <v>2015</v>
      </c>
      <c r="X9" s="585">
        <v>2016</v>
      </c>
      <c r="Y9" s="585">
        <v>2017</v>
      </c>
      <c r="Z9" s="585">
        <v>2018</v>
      </c>
      <c r="AA9" s="585">
        <v>2019</v>
      </c>
      <c r="AB9" s="585">
        <v>2020</v>
      </c>
      <c r="AC9" s="585">
        <v>2021</v>
      </c>
      <c r="AD9" s="585">
        <v>2022</v>
      </c>
    </row>
    <row r="10" spans="1:30" ht="13.5">
      <c r="A10" s="19">
        <v>1</v>
      </c>
      <c r="B10" s="16" t="s">
        <v>262</v>
      </c>
      <c r="C10" s="17"/>
      <c r="D10" s="102"/>
      <c r="E10" s="301"/>
      <c r="F10" s="21"/>
      <c r="G10" s="21"/>
      <c r="H10" s="21"/>
      <c r="J10" s="188"/>
      <c r="K10" s="188"/>
      <c r="L10" s="286"/>
      <c r="M10" s="188"/>
      <c r="N10" s="20"/>
      <c r="O10" s="22"/>
      <c r="R10" s="19">
        <v>1</v>
      </c>
      <c r="S10" s="16" t="s">
        <v>262</v>
      </c>
      <c r="T10" s="17"/>
      <c r="U10" s="20"/>
      <c r="V10" s="293"/>
      <c r="W10" s="21"/>
      <c r="X10" s="21"/>
      <c r="Y10" s="21"/>
      <c r="Z10" s="188"/>
      <c r="AA10" s="188"/>
      <c r="AB10" s="188"/>
      <c r="AC10" s="188"/>
      <c r="AD10" s="188"/>
    </row>
    <row r="11" spans="1:30" ht="13.5">
      <c r="A11" s="23"/>
      <c r="B11" s="24" t="s">
        <v>263</v>
      </c>
      <c r="C11" s="25" t="s">
        <v>264</v>
      </c>
      <c r="D11" s="26">
        <f aca="true" t="shared" si="0" ref="D11:M11">D12+D13</f>
        <v>2721.486</v>
      </c>
      <c r="E11" s="294">
        <f t="shared" si="0"/>
        <v>2906.385</v>
      </c>
      <c r="F11" s="294">
        <v>3274.197</v>
      </c>
      <c r="G11" s="27">
        <f t="shared" si="0"/>
        <v>3210.841</v>
      </c>
      <c r="H11" s="27">
        <f t="shared" si="0"/>
        <v>3210.8399999999997</v>
      </c>
      <c r="I11" s="27">
        <f t="shared" si="0"/>
        <v>3210.8399999999997</v>
      </c>
      <c r="J11" s="27">
        <f t="shared" si="0"/>
        <v>2777.13</v>
      </c>
      <c r="K11" s="27">
        <f t="shared" si="0"/>
        <v>2611.759</v>
      </c>
      <c r="L11" s="27">
        <f t="shared" si="0"/>
        <v>2467.204</v>
      </c>
      <c r="M11" s="27">
        <f t="shared" si="0"/>
        <v>2328.795</v>
      </c>
      <c r="N11" s="26">
        <f>+E11-D11</f>
        <v>184.89900000000034</v>
      </c>
      <c r="O11" s="28">
        <f>+E11/D11-1</f>
        <v>0.06794045605966748</v>
      </c>
      <c r="R11" s="23"/>
      <c r="S11" s="24" t="s">
        <v>263</v>
      </c>
      <c r="T11" s="25" t="s">
        <v>264</v>
      </c>
      <c r="U11" s="26">
        <f aca="true" t="shared" si="1" ref="U11:AD11">U12+U13</f>
        <v>3223.797</v>
      </c>
      <c r="V11" s="294">
        <f t="shared" si="1"/>
        <v>3540.567</v>
      </c>
      <c r="W11" s="294">
        <v>3741.062</v>
      </c>
      <c r="X11" s="27">
        <f t="shared" si="1"/>
        <v>3862.484</v>
      </c>
      <c r="Y11" s="27">
        <f t="shared" si="1"/>
        <v>3862.4829999999997</v>
      </c>
      <c r="Z11" s="27">
        <f t="shared" si="1"/>
        <v>3862.4829999999997</v>
      </c>
      <c r="AA11" s="27">
        <f t="shared" si="1"/>
        <v>3401.871</v>
      </c>
      <c r="AB11" s="27">
        <f t="shared" si="1"/>
        <v>3236.5</v>
      </c>
      <c r="AC11" s="27">
        <f t="shared" si="1"/>
        <v>3091.9449999999997</v>
      </c>
      <c r="AD11" s="27">
        <f t="shared" si="1"/>
        <v>2953.536</v>
      </c>
    </row>
    <row r="12" spans="1:30" ht="13.5">
      <c r="A12" s="29"/>
      <c r="B12" s="30" t="s">
        <v>265</v>
      </c>
      <c r="C12" s="25" t="s">
        <v>264</v>
      </c>
      <c r="D12" s="26">
        <v>1824.334</v>
      </c>
      <c r="E12" s="294">
        <v>1964.285</v>
      </c>
      <c r="F12" s="27">
        <v>2408.2709999999997</v>
      </c>
      <c r="G12" s="27">
        <f>F12+26.902</f>
        <v>2435.173</v>
      </c>
      <c r="H12" s="27">
        <f>G12</f>
        <v>2435.173</v>
      </c>
      <c r="I12" s="27">
        <f>H12</f>
        <v>2435.173</v>
      </c>
      <c r="J12" s="27">
        <f>I12+26.902-666.399-64.96</f>
        <v>1730.716</v>
      </c>
      <c r="K12" s="27">
        <f>J12-413.428</f>
        <v>1317.288</v>
      </c>
      <c r="L12" s="27">
        <f>K12-312.485</f>
        <v>1004.803</v>
      </c>
      <c r="M12" s="27">
        <f>L12-283.929</f>
        <v>720.874</v>
      </c>
      <c r="N12" s="26">
        <f aca="true" t="shared" si="2" ref="N12:N35">+E12-D12</f>
        <v>139.95100000000002</v>
      </c>
      <c r="O12" s="28">
        <f>+E12/D12-1</f>
        <v>0.07671347461594213</v>
      </c>
      <c r="R12" s="29"/>
      <c r="S12" s="30" t="s">
        <v>265</v>
      </c>
      <c r="T12" s="25" t="s">
        <v>264</v>
      </c>
      <c r="U12" s="26">
        <v>2326.645</v>
      </c>
      <c r="V12" s="294">
        <v>2598.467</v>
      </c>
      <c r="W12" s="27">
        <v>2875.1359999999995</v>
      </c>
      <c r="X12" s="27">
        <f>2911.616+175.2</f>
        <v>3086.816</v>
      </c>
      <c r="Y12" s="27">
        <f>2911.616+175.2</f>
        <v>3086.816</v>
      </c>
      <c r="Z12" s="27">
        <f>2911.616+175.2</f>
        <v>3086.816</v>
      </c>
      <c r="AA12" s="27">
        <f>+Z12-666.399-64.96</f>
        <v>2355.457</v>
      </c>
      <c r="AB12" s="27">
        <f>AA12-413.428</f>
        <v>1942.029</v>
      </c>
      <c r="AC12" s="27">
        <f>AB12-312.485</f>
        <v>1629.5439999999999</v>
      </c>
      <c r="AD12" s="27">
        <f>+AC12-283.929</f>
        <v>1345.6149999999998</v>
      </c>
    </row>
    <row r="13" spans="1:30" ht="13.5">
      <c r="A13" s="31"/>
      <c r="B13" s="30" t="s">
        <v>266</v>
      </c>
      <c r="C13" s="25" t="s">
        <v>264</v>
      </c>
      <c r="D13" s="26">
        <v>897.152</v>
      </c>
      <c r="E13" s="294">
        <f aca="true" t="shared" si="3" ref="E13:M13">V13</f>
        <v>942.1</v>
      </c>
      <c r="F13" s="27">
        <v>865.9260000000002</v>
      </c>
      <c r="G13" s="27">
        <f t="shared" si="3"/>
        <v>775.668</v>
      </c>
      <c r="H13" s="27">
        <f t="shared" si="3"/>
        <v>775.667</v>
      </c>
      <c r="I13" s="27">
        <f t="shared" si="3"/>
        <v>775.667</v>
      </c>
      <c r="J13" s="27">
        <f t="shared" si="3"/>
        <v>1046.414</v>
      </c>
      <c r="K13" s="27">
        <f t="shared" si="3"/>
        <v>1294.471</v>
      </c>
      <c r="L13" s="27">
        <f t="shared" si="3"/>
        <v>1462.401</v>
      </c>
      <c r="M13" s="27">
        <f t="shared" si="3"/>
        <v>1607.921</v>
      </c>
      <c r="N13" s="26">
        <f t="shared" si="2"/>
        <v>44.94799999999998</v>
      </c>
      <c r="O13" s="28">
        <f>+E13/D13-1</f>
        <v>0.05010076330432289</v>
      </c>
      <c r="R13" s="31"/>
      <c r="S13" s="30" t="s">
        <v>266</v>
      </c>
      <c r="T13" s="25" t="s">
        <v>264</v>
      </c>
      <c r="U13" s="26">
        <v>897.152</v>
      </c>
      <c r="V13" s="294">
        <v>942.1</v>
      </c>
      <c r="W13" s="27">
        <v>865.9260000000002</v>
      </c>
      <c r="X13" s="27">
        <v>775.668</v>
      </c>
      <c r="Y13" s="27">
        <v>775.667</v>
      </c>
      <c r="Z13" s="27">
        <v>775.667</v>
      </c>
      <c r="AA13" s="27">
        <f>+Z13-71.934+342.681</f>
        <v>1046.414</v>
      </c>
      <c r="AB13" s="27">
        <f>AA13+248.057</f>
        <v>1294.471</v>
      </c>
      <c r="AC13" s="27">
        <f>AB13+167.93</f>
        <v>1462.401</v>
      </c>
      <c r="AD13" s="27">
        <f>+AC13+145.52</f>
        <v>1607.921</v>
      </c>
    </row>
    <row r="14" spans="1:30" ht="13.5">
      <c r="A14" s="23"/>
      <c r="B14" s="32" t="s">
        <v>267</v>
      </c>
      <c r="C14" s="25" t="s">
        <v>268</v>
      </c>
      <c r="D14" s="26">
        <v>9.151</v>
      </c>
      <c r="E14" s="294">
        <v>8.304</v>
      </c>
      <c r="F14" s="27">
        <v>8.5456</v>
      </c>
      <c r="G14" s="27"/>
      <c r="H14" s="27"/>
      <c r="I14" s="27"/>
      <c r="J14" s="27"/>
      <c r="K14" s="27"/>
      <c r="L14" s="27"/>
      <c r="M14" s="27"/>
      <c r="N14" s="26">
        <f t="shared" si="2"/>
        <v>-0.8469999999999995</v>
      </c>
      <c r="O14" s="28">
        <f>+E14/D14-1</f>
        <v>-0.09255819036170909</v>
      </c>
      <c r="R14" s="23"/>
      <c r="S14" s="32" t="s">
        <v>267</v>
      </c>
      <c r="T14" s="25" t="s">
        <v>268</v>
      </c>
      <c r="U14" s="26">
        <v>9.443</v>
      </c>
      <c r="V14" s="294">
        <v>8.678</v>
      </c>
      <c r="W14" s="27">
        <v>8.72</v>
      </c>
      <c r="X14" s="27"/>
      <c r="Y14" s="27"/>
      <c r="Z14" s="27"/>
      <c r="AA14" s="27"/>
      <c r="AB14" s="27"/>
      <c r="AC14" s="27"/>
      <c r="AD14" s="27"/>
    </row>
    <row r="15" spans="1:30" ht="13.5">
      <c r="A15" s="19">
        <v>2</v>
      </c>
      <c r="B15" s="15" t="s">
        <v>269</v>
      </c>
      <c r="C15" s="33"/>
      <c r="D15" s="20"/>
      <c r="E15" s="295"/>
      <c r="F15" s="21"/>
      <c r="G15" s="21"/>
      <c r="H15" s="21"/>
      <c r="I15" s="21"/>
      <c r="J15" s="21"/>
      <c r="K15" s="21"/>
      <c r="L15" s="21"/>
      <c r="M15" s="21"/>
      <c r="N15" s="20"/>
      <c r="O15" s="22"/>
      <c r="R15" s="19">
        <v>2</v>
      </c>
      <c r="S15" s="15" t="s">
        <v>269</v>
      </c>
      <c r="T15" s="33"/>
      <c r="U15" s="20"/>
      <c r="V15" s="295"/>
      <c r="W15" s="21"/>
      <c r="X15" s="21"/>
      <c r="Y15" s="21"/>
      <c r="Z15" s="21"/>
      <c r="AA15" s="21"/>
      <c r="AB15" s="21"/>
      <c r="AC15" s="21"/>
      <c r="AD15" s="21"/>
    </row>
    <row r="16" spans="1:30" ht="13.5">
      <c r="A16" s="23"/>
      <c r="B16" s="24" t="s">
        <v>263</v>
      </c>
      <c r="C16" s="34" t="s">
        <v>270</v>
      </c>
      <c r="D16" s="35">
        <v>34.46</v>
      </c>
      <c r="E16" s="296">
        <v>33.8</v>
      </c>
      <c r="F16" s="36">
        <v>33.098604305116645</v>
      </c>
      <c r="G16" s="36">
        <v>33.1</v>
      </c>
      <c r="H16" s="36">
        <v>33.1</v>
      </c>
      <c r="I16" s="36">
        <v>33.1</v>
      </c>
      <c r="J16" s="36">
        <v>32</v>
      </c>
      <c r="K16" s="36">
        <v>31</v>
      </c>
      <c r="L16" s="36">
        <v>31</v>
      </c>
      <c r="M16" s="36">
        <v>30</v>
      </c>
      <c r="N16" s="26">
        <f t="shared" si="2"/>
        <v>-0.6600000000000037</v>
      </c>
      <c r="O16" s="28">
        <f aca="true" t="shared" si="4" ref="O16:O32">+E16/D16-1</f>
        <v>-0.01915264074289036</v>
      </c>
      <c r="R16" s="23"/>
      <c r="S16" s="24" t="s">
        <v>263</v>
      </c>
      <c r="T16" s="34" t="s">
        <v>270</v>
      </c>
      <c r="U16" s="35">
        <v>33.8</v>
      </c>
      <c r="V16" s="296">
        <v>32.12</v>
      </c>
      <c r="W16" s="36">
        <v>33.06998956446058</v>
      </c>
      <c r="X16" s="36">
        <v>33.06998956446058</v>
      </c>
      <c r="Y16" s="36">
        <v>33.06998956446058</v>
      </c>
      <c r="Z16" s="36">
        <v>33.06998956446058</v>
      </c>
      <c r="AA16" s="36">
        <v>32</v>
      </c>
      <c r="AB16" s="36">
        <v>31</v>
      </c>
      <c r="AC16" s="36">
        <v>31</v>
      </c>
      <c r="AD16" s="36">
        <v>30</v>
      </c>
    </row>
    <row r="17" spans="1:30" ht="13.5">
      <c r="A17" s="23"/>
      <c r="B17" s="32" t="s">
        <v>267</v>
      </c>
      <c r="C17" s="25" t="s">
        <v>271</v>
      </c>
      <c r="D17" s="35">
        <v>50.67</v>
      </c>
      <c r="E17" s="296">
        <v>49.83</v>
      </c>
      <c r="F17" s="36">
        <v>48.42013761467889</v>
      </c>
      <c r="G17" s="36"/>
      <c r="H17" s="36"/>
      <c r="I17" s="36"/>
      <c r="J17" s="36"/>
      <c r="K17" s="36"/>
      <c r="L17" s="36"/>
      <c r="M17" s="36"/>
      <c r="N17" s="26">
        <f t="shared" si="2"/>
        <v>-0.8400000000000034</v>
      </c>
      <c r="O17" s="28">
        <f t="shared" si="4"/>
        <v>-0.01657785671995271</v>
      </c>
      <c r="R17" s="23"/>
      <c r="S17" s="32" t="s">
        <v>267</v>
      </c>
      <c r="T17" s="25" t="s">
        <v>271</v>
      </c>
      <c r="U17" s="35">
        <v>49.83</v>
      </c>
      <c r="V17" s="296">
        <v>48.14</v>
      </c>
      <c r="W17" s="36">
        <v>48.42013761467891</v>
      </c>
      <c r="X17" s="36"/>
      <c r="Y17" s="36"/>
      <c r="Z17" s="36"/>
      <c r="AA17" s="36"/>
      <c r="AB17" s="36"/>
      <c r="AC17" s="36"/>
      <c r="AD17" s="36"/>
    </row>
    <row r="18" spans="1:30" ht="13.5">
      <c r="A18" s="19">
        <v>3</v>
      </c>
      <c r="B18" s="16" t="s">
        <v>272</v>
      </c>
      <c r="C18" s="37" t="s">
        <v>273</v>
      </c>
      <c r="D18" s="38">
        <f>D19+D20</f>
        <v>94246</v>
      </c>
      <c r="E18" s="297">
        <f aca="true" t="shared" si="5" ref="E18:M18">E19+E20+E21</f>
        <v>99873.50132</v>
      </c>
      <c r="F18" s="297">
        <v>109947.930048</v>
      </c>
      <c r="G18" s="39">
        <f t="shared" si="5"/>
        <v>107441.6371</v>
      </c>
      <c r="H18" s="39">
        <f t="shared" si="5"/>
        <v>107441.60399999999</v>
      </c>
      <c r="I18" s="39">
        <f t="shared" si="5"/>
        <v>107441.60399999999</v>
      </c>
      <c r="J18" s="39">
        <f t="shared" si="5"/>
        <v>90030.96</v>
      </c>
      <c r="K18" s="39">
        <f t="shared" si="5"/>
        <v>82127.329</v>
      </c>
      <c r="L18" s="39">
        <f t="shared" si="5"/>
        <v>77646.12400000001</v>
      </c>
      <c r="M18" s="39">
        <f t="shared" si="5"/>
        <v>71026.65000000001</v>
      </c>
      <c r="N18" s="38">
        <f t="shared" si="2"/>
        <v>5627.501319999996</v>
      </c>
      <c r="O18" s="40">
        <f t="shared" si="4"/>
        <v>0.05971077096110178</v>
      </c>
      <c r="P18" s="41">
        <f>+N18*D22*10</f>
        <v>720882.9190919995</v>
      </c>
      <c r="Q18" s="41"/>
      <c r="R18" s="19">
        <v>3</v>
      </c>
      <c r="S18" s="16" t="s">
        <v>272</v>
      </c>
      <c r="T18" s="37" t="s">
        <v>273</v>
      </c>
      <c r="U18" s="38">
        <f>U19+U20</f>
        <v>109090</v>
      </c>
      <c r="V18" s="297">
        <f>V19+V20+V21</f>
        <v>115351.948</v>
      </c>
      <c r="W18" s="297">
        <v>125363.1049</v>
      </c>
      <c r="X18" s="39">
        <f aca="true" t="shared" si="6" ref="X18:AD18">X19+X20+X21</f>
        <v>128956.30557289594</v>
      </c>
      <c r="Y18" s="39">
        <f t="shared" si="6"/>
        <v>128956.27250290637</v>
      </c>
      <c r="Z18" s="39">
        <f t="shared" si="6"/>
        <v>128956.27250290637</v>
      </c>
      <c r="AA18" s="39">
        <f t="shared" si="6"/>
        <v>110083.872</v>
      </c>
      <c r="AB18" s="39">
        <f t="shared" si="6"/>
        <v>101555.5</v>
      </c>
      <c r="AC18" s="39">
        <f t="shared" si="6"/>
        <v>97074.29499999998</v>
      </c>
      <c r="AD18" s="39">
        <f t="shared" si="6"/>
        <v>89830.08</v>
      </c>
    </row>
    <row r="19" spans="1:30" ht="13.5">
      <c r="A19" s="23"/>
      <c r="B19" s="24" t="s">
        <v>263</v>
      </c>
      <c r="C19" s="25" t="s">
        <v>273</v>
      </c>
      <c r="D19" s="42">
        <v>93782</v>
      </c>
      <c r="E19" s="298">
        <f aca="true" t="shared" si="7" ref="E19:M19">E11*E16</f>
        <v>98235.813</v>
      </c>
      <c r="F19" s="43">
        <v>108371.35092</v>
      </c>
      <c r="G19" s="43">
        <f t="shared" si="7"/>
        <v>106278.8371</v>
      </c>
      <c r="H19" s="43">
        <f t="shared" si="7"/>
        <v>106278.80399999999</v>
      </c>
      <c r="I19" s="43">
        <f t="shared" si="7"/>
        <v>106278.80399999999</v>
      </c>
      <c r="J19" s="43">
        <f t="shared" si="7"/>
        <v>88868.16</v>
      </c>
      <c r="K19" s="43">
        <f t="shared" si="7"/>
        <v>80964.529</v>
      </c>
      <c r="L19" s="43">
        <f t="shared" si="7"/>
        <v>76483.32400000001</v>
      </c>
      <c r="M19" s="43">
        <f t="shared" si="7"/>
        <v>69863.85</v>
      </c>
      <c r="N19" s="44">
        <f t="shared" si="2"/>
        <v>4453.812999999995</v>
      </c>
      <c r="O19" s="28">
        <f t="shared" si="4"/>
        <v>0.04749112836151914</v>
      </c>
      <c r="P19" s="41">
        <f>+N18*D30</f>
        <v>506475.1187999996</v>
      </c>
      <c r="R19" s="23"/>
      <c r="S19" s="24" t="s">
        <v>263</v>
      </c>
      <c r="T19" s="25" t="s">
        <v>273</v>
      </c>
      <c r="U19" s="42">
        <v>108619</v>
      </c>
      <c r="V19" s="298">
        <v>113710.3</v>
      </c>
      <c r="W19" s="43">
        <v>123716.88130000001</v>
      </c>
      <c r="X19" s="43">
        <f aca="true" t="shared" si="8" ref="X19:AD19">X11*X16</f>
        <v>127732.30557289594</v>
      </c>
      <c r="Y19" s="43">
        <f t="shared" si="8"/>
        <v>127732.27250290637</v>
      </c>
      <c r="Z19" s="43">
        <f t="shared" si="8"/>
        <v>127732.27250290637</v>
      </c>
      <c r="AA19" s="43">
        <f t="shared" si="8"/>
        <v>108859.872</v>
      </c>
      <c r="AB19" s="43">
        <f t="shared" si="8"/>
        <v>100331.5</v>
      </c>
      <c r="AC19" s="43">
        <f t="shared" si="8"/>
        <v>95850.29499999998</v>
      </c>
      <c r="AD19" s="43">
        <f t="shared" si="8"/>
        <v>88606.08</v>
      </c>
    </row>
    <row r="20" spans="1:30" ht="13.5">
      <c r="A20" s="23"/>
      <c r="B20" s="32" t="s">
        <v>267</v>
      </c>
      <c r="C20" s="25" t="s">
        <v>273</v>
      </c>
      <c r="D20" s="42">
        <v>464</v>
      </c>
      <c r="E20" s="298">
        <f aca="true" t="shared" si="9" ref="E20:M20">E14*E17</f>
        <v>413.78832</v>
      </c>
      <c r="F20" s="43">
        <v>413.77912799999996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3">
        <f t="shared" si="9"/>
        <v>0</v>
      </c>
      <c r="K20" s="43">
        <f t="shared" si="9"/>
        <v>0</v>
      </c>
      <c r="L20" s="43">
        <f t="shared" si="9"/>
        <v>0</v>
      </c>
      <c r="M20" s="43">
        <f t="shared" si="9"/>
        <v>0</v>
      </c>
      <c r="N20" s="44">
        <f t="shared" si="2"/>
        <v>-50.21168</v>
      </c>
      <c r="O20" s="28">
        <f t="shared" si="4"/>
        <v>-0.10821482758620693</v>
      </c>
      <c r="P20" s="41"/>
      <c r="R20" s="23"/>
      <c r="S20" s="32" t="s">
        <v>267</v>
      </c>
      <c r="T20" s="25" t="s">
        <v>273</v>
      </c>
      <c r="U20" s="42">
        <v>471</v>
      </c>
      <c r="V20" s="298">
        <v>417.748</v>
      </c>
      <c r="W20" s="43">
        <v>422.2236000000001</v>
      </c>
      <c r="X20" s="43">
        <f aca="true" t="shared" si="10" ref="X20:AD20">X14*X17</f>
        <v>0</v>
      </c>
      <c r="Y20" s="43">
        <f t="shared" si="10"/>
        <v>0</v>
      </c>
      <c r="Z20" s="43">
        <f t="shared" si="10"/>
        <v>0</v>
      </c>
      <c r="AA20" s="43">
        <f t="shared" si="10"/>
        <v>0</v>
      </c>
      <c r="AB20" s="43">
        <f t="shared" si="10"/>
        <v>0</v>
      </c>
      <c r="AC20" s="43">
        <f t="shared" si="10"/>
        <v>0</v>
      </c>
      <c r="AD20" s="43">
        <f t="shared" si="10"/>
        <v>0</v>
      </c>
    </row>
    <row r="21" spans="1:30" ht="13.5">
      <c r="A21" s="23"/>
      <c r="B21" s="32" t="s">
        <v>501</v>
      </c>
      <c r="C21" s="25" t="s">
        <v>273</v>
      </c>
      <c r="D21" s="42"/>
      <c r="E21" s="298">
        <f>V21</f>
        <v>1223.9</v>
      </c>
      <c r="F21" s="43">
        <v>1162.8</v>
      </c>
      <c r="G21" s="623">
        <f>0.95*X21</f>
        <v>1162.8</v>
      </c>
      <c r="H21" s="623">
        <f aca="true" t="shared" si="11" ref="H21:M21">0.95*Y21</f>
        <v>1162.8</v>
      </c>
      <c r="I21" s="623">
        <f t="shared" si="11"/>
        <v>1162.8</v>
      </c>
      <c r="J21" s="623">
        <f t="shared" si="11"/>
        <v>1162.8</v>
      </c>
      <c r="K21" s="623">
        <f t="shared" si="11"/>
        <v>1162.8</v>
      </c>
      <c r="L21" s="623">
        <f t="shared" si="11"/>
        <v>1162.8</v>
      </c>
      <c r="M21" s="623">
        <f t="shared" si="11"/>
        <v>1162.8</v>
      </c>
      <c r="N21" s="44"/>
      <c r="O21" s="28"/>
      <c r="P21" s="41"/>
      <c r="R21" s="23"/>
      <c r="S21" s="32" t="s">
        <v>501</v>
      </c>
      <c r="T21" s="25" t="s">
        <v>273</v>
      </c>
      <c r="U21" s="42"/>
      <c r="V21" s="298">
        <v>1223.9</v>
      </c>
      <c r="W21" s="43">
        <v>1224</v>
      </c>
      <c r="X21" s="43">
        <v>1224</v>
      </c>
      <c r="Y21" s="43">
        <v>1224</v>
      </c>
      <c r="Z21" s="43">
        <v>1224</v>
      </c>
      <c r="AA21" s="43">
        <v>1224</v>
      </c>
      <c r="AB21" s="43">
        <v>1224</v>
      </c>
      <c r="AC21" s="43">
        <v>1224</v>
      </c>
      <c r="AD21" s="43">
        <v>1224</v>
      </c>
    </row>
    <row r="22" spans="1:30" ht="13.5">
      <c r="A22" s="19">
        <v>4</v>
      </c>
      <c r="B22" s="16" t="s">
        <v>274</v>
      </c>
      <c r="C22" s="33" t="s">
        <v>275</v>
      </c>
      <c r="D22" s="20">
        <v>12.81</v>
      </c>
      <c r="E22" s="295">
        <v>12.5</v>
      </c>
      <c r="F22" s="21">
        <v>13.164793543745933</v>
      </c>
      <c r="G22" s="21">
        <f>X22</f>
        <v>14.088005294042919</v>
      </c>
      <c r="H22" s="21">
        <f aca="true" t="shared" si="12" ref="H22:M22">Y22</f>
        <v>15.074165664625925</v>
      </c>
      <c r="I22" s="21">
        <f t="shared" si="12"/>
        <v>15.978615604503482</v>
      </c>
      <c r="J22" s="21">
        <f t="shared" si="12"/>
        <v>17.097118696818725</v>
      </c>
      <c r="K22" s="21">
        <f t="shared" si="12"/>
        <v>18.12294581862785</v>
      </c>
      <c r="L22" s="21">
        <f t="shared" si="12"/>
        <v>19.029093109559245</v>
      </c>
      <c r="M22" s="21">
        <f t="shared" si="12"/>
        <v>19.98054776503721</v>
      </c>
      <c r="N22" s="35">
        <f t="shared" si="2"/>
        <v>-0.3100000000000005</v>
      </c>
      <c r="O22" s="28">
        <f t="shared" si="4"/>
        <v>-0.024199843871975046</v>
      </c>
      <c r="P22" s="41">
        <f>+N22*E18</f>
        <v>-30960.78540920005</v>
      </c>
      <c r="R22" s="19">
        <v>4</v>
      </c>
      <c r="S22" s="16" t="s">
        <v>274</v>
      </c>
      <c r="T22" s="33" t="s">
        <v>275</v>
      </c>
      <c r="U22" s="20">
        <v>12.81</v>
      </c>
      <c r="V22" s="295">
        <v>12.195</v>
      </c>
      <c r="W22" s="21">
        <v>13.166360087890578</v>
      </c>
      <c r="X22" s="21">
        <f>W22*1.07</f>
        <v>14.088005294042919</v>
      </c>
      <c r="Y22" s="21">
        <f>X22*1.07</f>
        <v>15.074165664625925</v>
      </c>
      <c r="Z22" s="21">
        <f>Y22*1.06</f>
        <v>15.978615604503482</v>
      </c>
      <c r="AA22" s="21">
        <f>Z22*1.07</f>
        <v>17.097118696818725</v>
      </c>
      <c r="AB22" s="21">
        <f>AA22*1.06</f>
        <v>18.12294581862785</v>
      </c>
      <c r="AC22" s="21">
        <f>AB22*1.05</f>
        <v>19.029093109559245</v>
      </c>
      <c r="AD22" s="21">
        <f>AC22*1.05</f>
        <v>19.98054776503721</v>
      </c>
    </row>
    <row r="23" spans="1:30" ht="13.5">
      <c r="A23" s="19">
        <v>5</v>
      </c>
      <c r="B23" s="16" t="s">
        <v>276</v>
      </c>
      <c r="C23" s="33" t="s">
        <v>68</v>
      </c>
      <c r="D23" s="38">
        <f>D24+D25</f>
        <v>12072912.600000001</v>
      </c>
      <c r="E23" s="297">
        <f>E24+E25+E26</f>
        <v>12472418.164999997</v>
      </c>
      <c r="F23" s="297">
        <v>14474417.996441396</v>
      </c>
      <c r="G23" s="39">
        <f aca="true" t="shared" si="13" ref="G23:M23">G24+G25+G26</f>
        <v>15136383.52265438</v>
      </c>
      <c r="H23" s="39">
        <f t="shared" si="13"/>
        <v>16195925.379691353</v>
      </c>
      <c r="I23" s="39">
        <f t="shared" si="13"/>
        <v>17167680.902472835</v>
      </c>
      <c r="J23" s="39">
        <f t="shared" si="13"/>
        <v>15392700.09508539</v>
      </c>
      <c r="K23" s="39">
        <f t="shared" si="13"/>
        <v>14883891.336956237</v>
      </c>
      <c r="L23" s="39">
        <f t="shared" si="13"/>
        <v>14775353.231923828</v>
      </c>
      <c r="M23" s="39">
        <f t="shared" si="13"/>
        <v>14191513.729155801</v>
      </c>
      <c r="N23" s="38">
        <f t="shared" si="2"/>
        <v>399505.56499999575</v>
      </c>
      <c r="O23" s="40">
        <f t="shared" si="4"/>
        <v>0.03309106743636958</v>
      </c>
      <c r="P23" s="41">
        <f>SUM(P18+P19+P22)</f>
        <v>1196397.252482799</v>
      </c>
      <c r="R23" s="19">
        <v>5</v>
      </c>
      <c r="S23" s="16" t="s">
        <v>276</v>
      </c>
      <c r="T23" s="33" t="s">
        <v>68</v>
      </c>
      <c r="U23" s="38">
        <f>U24+U25</f>
        <v>14029106</v>
      </c>
      <c r="V23" s="297">
        <f aca="true" t="shared" si="14" ref="V23:AD23">V24+V25+V26</f>
        <v>14067298</v>
      </c>
      <c r="W23" s="297">
        <v>16505757.808493998</v>
      </c>
      <c r="X23" s="39">
        <f t="shared" si="14"/>
        <v>18167371.156111743</v>
      </c>
      <c r="Y23" s="39">
        <f t="shared" si="14"/>
        <v>19439082.152014557</v>
      </c>
      <c r="Z23" s="39">
        <f t="shared" si="14"/>
        <v>20605427.08113543</v>
      </c>
      <c r="AA23" s="39">
        <f t="shared" si="14"/>
        <v>18821170.261893995</v>
      </c>
      <c r="AB23" s="39">
        <f t="shared" si="14"/>
        <v>18404848.24083661</v>
      </c>
      <c r="AC23" s="39">
        <f t="shared" si="14"/>
        <v>18472357.98099821</v>
      </c>
      <c r="AD23" s="39">
        <f t="shared" si="14"/>
        <v>17948542.04177114</v>
      </c>
    </row>
    <row r="24" spans="1:30" ht="13.5">
      <c r="A24" s="23"/>
      <c r="B24" s="24" t="s">
        <v>263</v>
      </c>
      <c r="C24" s="34" t="s">
        <v>68</v>
      </c>
      <c r="D24" s="42">
        <f aca="true" t="shared" si="15" ref="D24:M24">D19*D22*10</f>
        <v>12013474.200000001</v>
      </c>
      <c r="E24" s="298">
        <f t="shared" si="15"/>
        <v>12279476.624999998</v>
      </c>
      <c r="F24" s="43">
        <v>14266750.149737997</v>
      </c>
      <c r="G24" s="43">
        <f t="shared" si="15"/>
        <v>14972568.197095249</v>
      </c>
      <c r="H24" s="43">
        <f t="shared" si="15"/>
        <v>16020642.981343083</v>
      </c>
      <c r="I24" s="43">
        <f t="shared" si="15"/>
        <v>16981881.56022367</v>
      </c>
      <c r="J24" s="43">
        <f t="shared" si="15"/>
        <v>15193894.798878781</v>
      </c>
      <c r="K24" s="43">
        <f t="shared" si="15"/>
        <v>14673157.722977232</v>
      </c>
      <c r="L24" s="43">
        <f t="shared" si="15"/>
        <v>14554082.937245874</v>
      </c>
      <c r="M24" s="43">
        <f t="shared" si="15"/>
        <v>13959179.919743948</v>
      </c>
      <c r="N24" s="42">
        <f t="shared" si="2"/>
        <v>266002.424999997</v>
      </c>
      <c r="O24" s="28">
        <f t="shared" si="4"/>
        <v>0.02214200659789123</v>
      </c>
      <c r="P24" s="41"/>
      <c r="R24" s="23"/>
      <c r="S24" s="24" t="s">
        <v>263</v>
      </c>
      <c r="T24" s="34" t="s">
        <v>68</v>
      </c>
      <c r="U24" s="42">
        <v>13968484</v>
      </c>
      <c r="V24" s="298">
        <v>13875135</v>
      </c>
      <c r="W24" s="43">
        <v>16288913.377163999</v>
      </c>
      <c r="X24" s="43">
        <f aca="true" t="shared" si="16" ref="X24:AD24">X19*X22*10</f>
        <v>17994933.971312657</v>
      </c>
      <c r="Y24" s="43">
        <f t="shared" si="16"/>
        <v>19254574.364279535</v>
      </c>
      <c r="Z24" s="43">
        <f t="shared" si="16"/>
        <v>20409848.826136306</v>
      </c>
      <c r="AA24" s="43">
        <f t="shared" si="16"/>
        <v>18611901.529044934</v>
      </c>
      <c r="AB24" s="43">
        <f t="shared" si="16"/>
        <v>18183023.384016603</v>
      </c>
      <c r="AC24" s="43">
        <f t="shared" si="16"/>
        <v>18239441.881337207</v>
      </c>
      <c r="AD24" s="43">
        <f t="shared" si="16"/>
        <v>17703980.137127083</v>
      </c>
    </row>
    <row r="25" spans="1:30" ht="13.5">
      <c r="A25" s="23"/>
      <c r="B25" s="32" t="s">
        <v>267</v>
      </c>
      <c r="C25" s="34" t="s">
        <v>68</v>
      </c>
      <c r="D25" s="42">
        <f aca="true" t="shared" si="17" ref="D25:M25">+D20*D22*10</f>
        <v>59438.4</v>
      </c>
      <c r="E25" s="298">
        <f t="shared" si="17"/>
        <v>51723.54</v>
      </c>
      <c r="F25" s="43">
        <v>54410.8067034</v>
      </c>
      <c r="G25" s="43">
        <f t="shared" si="17"/>
        <v>0</v>
      </c>
      <c r="H25" s="43">
        <f t="shared" si="17"/>
        <v>0</v>
      </c>
      <c r="I25" s="43">
        <f t="shared" si="17"/>
        <v>0</v>
      </c>
      <c r="J25" s="43">
        <f t="shared" si="17"/>
        <v>0</v>
      </c>
      <c r="K25" s="43">
        <f t="shared" si="17"/>
        <v>0</v>
      </c>
      <c r="L25" s="43">
        <f t="shared" si="17"/>
        <v>0</v>
      </c>
      <c r="M25" s="43">
        <f t="shared" si="17"/>
        <v>0</v>
      </c>
      <c r="N25" s="42">
        <f t="shared" si="2"/>
        <v>-7714.860000000001</v>
      </c>
      <c r="O25" s="28">
        <f t="shared" si="4"/>
        <v>-0.129795889525963</v>
      </c>
      <c r="P25" s="41"/>
      <c r="R25" s="23"/>
      <c r="S25" s="32" t="s">
        <v>267</v>
      </c>
      <c r="T25" s="34" t="s">
        <v>68</v>
      </c>
      <c r="U25" s="42">
        <v>60622</v>
      </c>
      <c r="V25" s="298">
        <v>50945</v>
      </c>
      <c r="W25" s="43">
        <v>55521.231329999995</v>
      </c>
      <c r="X25" s="43">
        <f aca="true" t="shared" si="18" ref="X25:AD25">+X20*X22*10</f>
        <v>0</v>
      </c>
      <c r="Y25" s="43">
        <f t="shared" si="18"/>
        <v>0</v>
      </c>
      <c r="Z25" s="43">
        <f t="shared" si="18"/>
        <v>0</v>
      </c>
      <c r="AA25" s="43">
        <f t="shared" si="18"/>
        <v>0</v>
      </c>
      <c r="AB25" s="43">
        <f t="shared" si="18"/>
        <v>0</v>
      </c>
      <c r="AC25" s="43">
        <f t="shared" si="18"/>
        <v>0</v>
      </c>
      <c r="AD25" s="43">
        <f t="shared" si="18"/>
        <v>0</v>
      </c>
    </row>
    <row r="26" spans="1:30" ht="13.5">
      <c r="A26" s="23"/>
      <c r="B26" s="32" t="s">
        <v>501</v>
      </c>
      <c r="C26" s="34" t="s">
        <v>68</v>
      </c>
      <c r="D26" s="42"/>
      <c r="E26" s="298">
        <f>V26</f>
        <v>141218</v>
      </c>
      <c r="F26" s="43">
        <v>153257.03999999995</v>
      </c>
      <c r="G26" s="43">
        <f aca="true" t="shared" si="19" ref="G26:M26">+G21*G22*10</f>
        <v>163815.32555913104</v>
      </c>
      <c r="H26" s="43">
        <f t="shared" si="19"/>
        <v>175282.39834827025</v>
      </c>
      <c r="I26" s="43">
        <f t="shared" si="19"/>
        <v>185799.34224916648</v>
      </c>
      <c r="J26" s="43">
        <f t="shared" si="19"/>
        <v>198805.29620660815</v>
      </c>
      <c r="K26" s="43">
        <f t="shared" si="19"/>
        <v>210733.61397900467</v>
      </c>
      <c r="L26" s="43">
        <f t="shared" si="19"/>
        <v>221270.29467795487</v>
      </c>
      <c r="M26" s="43">
        <f t="shared" si="19"/>
        <v>232333.80941185262</v>
      </c>
      <c r="N26" s="42"/>
      <c r="O26" s="28"/>
      <c r="P26" s="41"/>
      <c r="R26" s="23"/>
      <c r="S26" s="32" t="s">
        <v>501</v>
      </c>
      <c r="T26" s="34" t="s">
        <v>68</v>
      </c>
      <c r="U26" s="42"/>
      <c r="V26" s="298">
        <v>141218</v>
      </c>
      <c r="W26" s="43">
        <v>161323.2</v>
      </c>
      <c r="X26" s="43">
        <f>+X22*X21*10</f>
        <v>172437.18479908534</v>
      </c>
      <c r="Y26" s="43">
        <f aca="true" t="shared" si="20" ref="Y26:AD26">+Y22*Y21*10</f>
        <v>184507.7877350213</v>
      </c>
      <c r="Z26" s="43">
        <f t="shared" si="20"/>
        <v>195578.2549991226</v>
      </c>
      <c r="AA26" s="43">
        <f t="shared" si="20"/>
        <v>209268.7328490612</v>
      </c>
      <c r="AB26" s="43">
        <f t="shared" si="20"/>
        <v>221824.8568200049</v>
      </c>
      <c r="AC26" s="43">
        <f t="shared" si="20"/>
        <v>232916.09966100517</v>
      </c>
      <c r="AD26" s="43">
        <f t="shared" si="20"/>
        <v>244561.90464405544</v>
      </c>
    </row>
    <row r="27" spans="1:30" ht="13.5">
      <c r="A27" s="19">
        <v>6</v>
      </c>
      <c r="B27" s="16" t="s">
        <v>277</v>
      </c>
      <c r="C27" s="33" t="s">
        <v>68</v>
      </c>
      <c r="D27" s="38">
        <f aca="true" t="shared" si="21" ref="D27:M27">D28+D29</f>
        <v>2238520</v>
      </c>
      <c r="E27" s="297">
        <f t="shared" si="21"/>
        <v>2077746</v>
      </c>
      <c r="F27" s="297">
        <v>2565200</v>
      </c>
      <c r="G27" s="39">
        <f t="shared" si="21"/>
        <v>2611373.6</v>
      </c>
      <c r="H27" s="39">
        <f t="shared" si="21"/>
        <v>2655766.9511999995</v>
      </c>
      <c r="I27" s="39">
        <f t="shared" si="21"/>
        <v>2700914.989370399</v>
      </c>
      <c r="J27" s="39">
        <f t="shared" si="21"/>
        <v>2746830.544189696</v>
      </c>
      <c r="K27" s="39">
        <f t="shared" si="21"/>
        <v>2793526.663440921</v>
      </c>
      <c r="L27" s="39">
        <f t="shared" si="21"/>
        <v>2841016.616719416</v>
      </c>
      <c r="M27" s="39">
        <f t="shared" si="21"/>
        <v>2889313.899203646</v>
      </c>
      <c r="N27" s="38">
        <f t="shared" si="2"/>
        <v>-160774</v>
      </c>
      <c r="O27" s="40">
        <f t="shared" si="4"/>
        <v>-0.0718215606740168</v>
      </c>
      <c r="P27" s="41"/>
      <c r="R27" s="19">
        <v>6</v>
      </c>
      <c r="S27" s="16" t="s">
        <v>277</v>
      </c>
      <c r="T27" s="33" t="s">
        <v>68</v>
      </c>
      <c r="U27" s="38">
        <f aca="true" t="shared" si="22" ref="U27:AD27">U28+U29</f>
        <v>2961775</v>
      </c>
      <c r="V27" s="297">
        <f t="shared" si="22"/>
        <v>2946518</v>
      </c>
      <c r="W27" s="297">
        <v>2617552</v>
      </c>
      <c r="X27" s="39">
        <f t="shared" si="22"/>
        <v>2664667.9359999998</v>
      </c>
      <c r="Y27" s="39">
        <f t="shared" si="22"/>
        <v>2709967.2909119995</v>
      </c>
      <c r="Z27" s="39">
        <f t="shared" si="22"/>
        <v>2756036.7348575033</v>
      </c>
      <c r="AA27" s="39">
        <f t="shared" si="22"/>
        <v>2802889.3593500806</v>
      </c>
      <c r="AB27" s="39">
        <f t="shared" si="22"/>
        <v>2850538.4784590313</v>
      </c>
      <c r="AC27" s="39">
        <f t="shared" si="22"/>
        <v>2898997.6325928345</v>
      </c>
      <c r="AD27" s="39">
        <f t="shared" si="22"/>
        <v>2948280.5923469127</v>
      </c>
    </row>
    <row r="28" spans="1:30" ht="13.5">
      <c r="A28" s="23"/>
      <c r="B28" s="45" t="s">
        <v>278</v>
      </c>
      <c r="C28" s="34" t="s">
        <v>68</v>
      </c>
      <c r="D28" s="42">
        <f>1882600+2846</f>
        <v>1885446</v>
      </c>
      <c r="E28" s="298">
        <v>1742066</v>
      </c>
      <c r="F28" s="43">
        <v>2221660</v>
      </c>
      <c r="G28" s="43">
        <f>F28*1.018</f>
        <v>2261649.88</v>
      </c>
      <c r="H28" s="43">
        <f aca="true" t="shared" si="23" ref="H28:M29">G28*1.017</f>
        <v>2300097.9279599995</v>
      </c>
      <c r="I28" s="43">
        <f t="shared" si="23"/>
        <v>2339199.5927353194</v>
      </c>
      <c r="J28" s="43">
        <f t="shared" si="23"/>
        <v>2378965.98581182</v>
      </c>
      <c r="K28" s="43">
        <f t="shared" si="23"/>
        <v>2419408.4075706205</v>
      </c>
      <c r="L28" s="43">
        <f t="shared" si="23"/>
        <v>2460538.350499321</v>
      </c>
      <c r="M28" s="43">
        <f t="shared" si="23"/>
        <v>2502367.502457809</v>
      </c>
      <c r="N28" s="42">
        <f t="shared" si="2"/>
        <v>-143380</v>
      </c>
      <c r="O28" s="28">
        <f t="shared" si="4"/>
        <v>-0.07604566770939081</v>
      </c>
      <c r="P28" s="41"/>
      <c r="R28" s="23"/>
      <c r="S28" s="45" t="s">
        <v>278</v>
      </c>
      <c r="T28" s="34" t="s">
        <v>68</v>
      </c>
      <c r="U28" s="42">
        <v>2535547</v>
      </c>
      <c r="V28" s="298">
        <v>2550939</v>
      </c>
      <c r="W28" s="43">
        <v>2267000</v>
      </c>
      <c r="X28" s="43">
        <f>W28*1.018</f>
        <v>2307806</v>
      </c>
      <c r="Y28" s="43">
        <f aca="true" t="shared" si="24" ref="Y28:AD29">X28*1.017</f>
        <v>2347038.7019999996</v>
      </c>
      <c r="Z28" s="43">
        <f t="shared" si="24"/>
        <v>2386938.3599339994</v>
      </c>
      <c r="AA28" s="43">
        <f t="shared" si="24"/>
        <v>2427516.312052877</v>
      </c>
      <c r="AB28" s="43">
        <f t="shared" si="24"/>
        <v>2468784.0893577756</v>
      </c>
      <c r="AC28" s="43">
        <f t="shared" si="24"/>
        <v>2510753.4188768575</v>
      </c>
      <c r="AD28" s="43">
        <f t="shared" si="24"/>
        <v>2553436.226997764</v>
      </c>
    </row>
    <row r="29" spans="1:30" ht="13.5">
      <c r="A29" s="23"/>
      <c r="B29" s="45" t="s">
        <v>279</v>
      </c>
      <c r="C29" s="34" t="s">
        <v>68</v>
      </c>
      <c r="D29" s="42">
        <v>353074</v>
      </c>
      <c r="E29" s="298">
        <v>335680</v>
      </c>
      <c r="F29" s="43">
        <v>343540</v>
      </c>
      <c r="G29" s="43">
        <f>F29*1.018</f>
        <v>349723.72000000003</v>
      </c>
      <c r="H29" s="43">
        <f t="shared" si="23"/>
        <v>355669.02324</v>
      </c>
      <c r="I29" s="43">
        <f t="shared" si="23"/>
        <v>361715.39663508</v>
      </c>
      <c r="J29" s="43">
        <f t="shared" si="23"/>
        <v>367864.5583778763</v>
      </c>
      <c r="K29" s="43">
        <f t="shared" si="23"/>
        <v>374118.25587030017</v>
      </c>
      <c r="L29" s="43">
        <f t="shared" si="23"/>
        <v>380478.2662200952</v>
      </c>
      <c r="M29" s="43">
        <f t="shared" si="23"/>
        <v>386946.3967458368</v>
      </c>
      <c r="N29" s="42">
        <f t="shared" si="2"/>
        <v>-17394</v>
      </c>
      <c r="O29" s="28">
        <f t="shared" si="4"/>
        <v>-0.0492644601415001</v>
      </c>
      <c r="P29" s="41"/>
      <c r="R29" s="23"/>
      <c r="S29" s="45" t="s">
        <v>279</v>
      </c>
      <c r="T29" s="34" t="s">
        <v>68</v>
      </c>
      <c r="U29" s="42">
        <v>426228</v>
      </c>
      <c r="V29" s="298">
        <v>395579</v>
      </c>
      <c r="W29" s="43">
        <v>350552</v>
      </c>
      <c r="X29" s="43">
        <f>W29*1.018</f>
        <v>356861.936</v>
      </c>
      <c r="Y29" s="43">
        <f t="shared" si="24"/>
        <v>362928.58891199995</v>
      </c>
      <c r="Z29" s="43">
        <f t="shared" si="24"/>
        <v>369098.3749235039</v>
      </c>
      <c r="AA29" s="43">
        <f t="shared" si="24"/>
        <v>375373.04729720345</v>
      </c>
      <c r="AB29" s="43">
        <f t="shared" si="24"/>
        <v>381754.38910125586</v>
      </c>
      <c r="AC29" s="43">
        <f t="shared" si="24"/>
        <v>388244.21371597715</v>
      </c>
      <c r="AD29" s="43">
        <f t="shared" si="24"/>
        <v>394844.36534914875</v>
      </c>
    </row>
    <row r="30" spans="1:30" ht="13.5">
      <c r="A30" s="46">
        <v>7</v>
      </c>
      <c r="B30" s="15" t="s">
        <v>280</v>
      </c>
      <c r="C30" s="33" t="s">
        <v>281</v>
      </c>
      <c r="D30" s="20">
        <v>90</v>
      </c>
      <c r="E30" s="295">
        <v>158.19</v>
      </c>
      <c r="F30" s="21">
        <v>158.19</v>
      </c>
      <c r="G30" s="21">
        <v>158.19</v>
      </c>
      <c r="H30" s="21">
        <v>158.19</v>
      </c>
      <c r="I30" s="21">
        <v>158.19</v>
      </c>
      <c r="J30" s="21">
        <v>158.19</v>
      </c>
      <c r="K30" s="21">
        <v>158.19</v>
      </c>
      <c r="L30" s="21">
        <v>158.19</v>
      </c>
      <c r="M30" s="21">
        <v>158.19</v>
      </c>
      <c r="N30" s="20">
        <f>+E30-D30</f>
        <v>68.19</v>
      </c>
      <c r="O30" s="40">
        <f>+E30/D30-1</f>
        <v>0.7576666666666667</v>
      </c>
      <c r="P30" s="41">
        <f>+E18*N30</f>
        <v>6810374.055010799</v>
      </c>
      <c r="Q30" s="41"/>
      <c r="R30" s="46">
        <v>7</v>
      </c>
      <c r="S30" s="15" t="s">
        <v>280</v>
      </c>
      <c r="T30" s="33" t="s">
        <v>281</v>
      </c>
      <c r="U30" s="20">
        <v>90</v>
      </c>
      <c r="V30" s="295">
        <v>158.19</v>
      </c>
      <c r="W30" s="21">
        <v>158.19</v>
      </c>
      <c r="X30" s="21">
        <v>158.19</v>
      </c>
      <c r="Y30" s="21">
        <v>158.19</v>
      </c>
      <c r="Z30" s="21">
        <v>158.19</v>
      </c>
      <c r="AA30" s="21">
        <v>158.19</v>
      </c>
      <c r="AB30" s="21">
        <v>158.19</v>
      </c>
      <c r="AC30" s="21">
        <v>158.19</v>
      </c>
      <c r="AD30" s="21">
        <v>158.19</v>
      </c>
    </row>
    <row r="31" spans="1:30" ht="13.5">
      <c r="A31" s="46">
        <v>8</v>
      </c>
      <c r="B31" s="15" t="s">
        <v>282</v>
      </c>
      <c r="C31" s="33" t="s">
        <v>68</v>
      </c>
      <c r="D31" s="38">
        <f aca="true" t="shared" si="25" ref="D31:M31">D18*D30</f>
        <v>8482140</v>
      </c>
      <c r="E31" s="297">
        <f t="shared" si="25"/>
        <v>15798989.173810799</v>
      </c>
      <c r="F31" s="39">
        <v>17392663.054293122</v>
      </c>
      <c r="G31" s="39">
        <f t="shared" si="25"/>
        <v>16996192.572849</v>
      </c>
      <c r="H31" s="39">
        <f t="shared" si="25"/>
        <v>16996187.33676</v>
      </c>
      <c r="I31" s="39">
        <f t="shared" si="25"/>
        <v>16996187.33676</v>
      </c>
      <c r="J31" s="39">
        <f t="shared" si="25"/>
        <v>14241997.5624</v>
      </c>
      <c r="K31" s="39">
        <f t="shared" si="25"/>
        <v>12991722.17451</v>
      </c>
      <c r="L31" s="39">
        <f t="shared" si="25"/>
        <v>12282840.355560001</v>
      </c>
      <c r="M31" s="39">
        <f t="shared" si="25"/>
        <v>11235705.763500001</v>
      </c>
      <c r="N31" s="38">
        <f>+E31-D31</f>
        <v>7316849.173810799</v>
      </c>
      <c r="O31" s="40">
        <f>+E31/D31-1</f>
        <v>0.8626182984259632</v>
      </c>
      <c r="P31" s="41">
        <f>+N31+N23</f>
        <v>7716354.738810794</v>
      </c>
      <c r="R31" s="46">
        <v>8</v>
      </c>
      <c r="S31" s="15" t="s">
        <v>282</v>
      </c>
      <c r="T31" s="33" t="s">
        <v>68</v>
      </c>
      <c r="U31" s="38">
        <v>9855017</v>
      </c>
      <c r="V31" s="297">
        <v>18247526</v>
      </c>
      <c r="W31" s="39">
        <v>19831189.564131</v>
      </c>
      <c r="X31" s="39">
        <f aca="true" t="shared" si="26" ref="X31:AD31">X18*X30</f>
        <v>20399597.97857641</v>
      </c>
      <c r="Y31" s="39">
        <f t="shared" si="26"/>
        <v>20399592.747234758</v>
      </c>
      <c r="Z31" s="39">
        <f t="shared" si="26"/>
        <v>20399592.747234758</v>
      </c>
      <c r="AA31" s="39">
        <f t="shared" si="26"/>
        <v>17414167.71168</v>
      </c>
      <c r="AB31" s="39">
        <f t="shared" si="26"/>
        <v>16065064.545</v>
      </c>
      <c r="AC31" s="39">
        <f t="shared" si="26"/>
        <v>15356182.726049997</v>
      </c>
      <c r="AD31" s="39">
        <f t="shared" si="26"/>
        <v>14210220.3552</v>
      </c>
    </row>
    <row r="32" spans="1:30" ht="13.5">
      <c r="A32" s="31"/>
      <c r="B32" s="47" t="s">
        <v>283</v>
      </c>
      <c r="C32" s="33" t="s">
        <v>68</v>
      </c>
      <c r="D32" s="38">
        <f aca="true" t="shared" si="27" ref="D32:M32">D23+D27+D31</f>
        <v>22793572.6</v>
      </c>
      <c r="E32" s="297">
        <f t="shared" si="27"/>
        <v>30349153.338810794</v>
      </c>
      <c r="F32" s="297">
        <v>34432281.05073452</v>
      </c>
      <c r="G32" s="39">
        <f t="shared" si="27"/>
        <v>34743949.695503384</v>
      </c>
      <c r="H32" s="39">
        <f t="shared" si="27"/>
        <v>35847879.667651355</v>
      </c>
      <c r="I32" s="39">
        <f t="shared" si="27"/>
        <v>36864783.22860323</v>
      </c>
      <c r="J32" s="39">
        <f t="shared" si="27"/>
        <v>32381528.201675087</v>
      </c>
      <c r="K32" s="39">
        <f t="shared" si="27"/>
        <v>30669140.174907155</v>
      </c>
      <c r="L32" s="39">
        <f t="shared" si="27"/>
        <v>29899210.204203244</v>
      </c>
      <c r="M32" s="39">
        <f t="shared" si="27"/>
        <v>28316533.39185945</v>
      </c>
      <c r="N32" s="48">
        <f t="shared" si="2"/>
        <v>7555580.738810793</v>
      </c>
      <c r="O32" s="40">
        <f t="shared" si="4"/>
        <v>0.331478565093863</v>
      </c>
      <c r="R32" s="31"/>
      <c r="S32" s="47" t="s">
        <v>283</v>
      </c>
      <c r="T32" s="33" t="s">
        <v>68</v>
      </c>
      <c r="U32" s="38">
        <f aca="true" t="shared" si="28" ref="U32:AD32">U23+U27+U31</f>
        <v>26845898</v>
      </c>
      <c r="V32" s="297">
        <f t="shared" si="28"/>
        <v>35261342</v>
      </c>
      <c r="W32" s="297">
        <v>38954499.37262499</v>
      </c>
      <c r="X32" s="39">
        <f t="shared" si="28"/>
        <v>41231637.07068816</v>
      </c>
      <c r="Y32" s="39">
        <f t="shared" si="28"/>
        <v>42548642.19016132</v>
      </c>
      <c r="Z32" s="39">
        <f t="shared" si="28"/>
        <v>43761056.56322769</v>
      </c>
      <c r="AA32" s="39">
        <f t="shared" si="28"/>
        <v>39038227.332924075</v>
      </c>
      <c r="AB32" s="39">
        <f t="shared" si="28"/>
        <v>37320451.26429564</v>
      </c>
      <c r="AC32" s="39">
        <f t="shared" si="28"/>
        <v>36727538.33964104</v>
      </c>
      <c r="AD32" s="39">
        <f t="shared" si="28"/>
        <v>35107042.98931806</v>
      </c>
    </row>
    <row r="33" spans="1:30" ht="13.5">
      <c r="A33" s="31"/>
      <c r="B33" s="47"/>
      <c r="C33" s="33"/>
      <c r="D33" s="20"/>
      <c r="E33" s="295"/>
      <c r="F33" s="21"/>
      <c r="G33" s="21"/>
      <c r="H33" s="21"/>
      <c r="I33" s="21"/>
      <c r="J33" s="21"/>
      <c r="K33" s="21"/>
      <c r="L33" s="21"/>
      <c r="M33" s="21"/>
      <c r="N33" s="20"/>
      <c r="O33" s="22"/>
      <c r="R33" s="31"/>
      <c r="S33" s="47"/>
      <c r="T33" s="33"/>
      <c r="U33" s="20"/>
      <c r="V33" s="295"/>
      <c r="W33" s="21"/>
      <c r="X33" s="21"/>
      <c r="Y33" s="21"/>
      <c r="Z33" s="21"/>
      <c r="AA33" s="21"/>
      <c r="AB33" s="21"/>
      <c r="AC33" s="21"/>
      <c r="AD33" s="21"/>
    </row>
    <row r="34" spans="1:30" ht="13.5">
      <c r="A34" s="31"/>
      <c r="B34" s="49" t="s">
        <v>284</v>
      </c>
      <c r="C34" s="50" t="s">
        <v>68</v>
      </c>
      <c r="D34" s="51">
        <f aca="true" t="shared" si="29" ref="D34:M34">D28+D23+D31</f>
        <v>22440498.6</v>
      </c>
      <c r="E34" s="299">
        <f t="shared" si="29"/>
        <v>30013473.338810794</v>
      </c>
      <c r="F34" s="52">
        <f t="shared" si="29"/>
        <v>34088741.05073452</v>
      </c>
      <c r="G34" s="52">
        <f t="shared" si="29"/>
        <v>34394225.975503385</v>
      </c>
      <c r="H34" s="52">
        <f t="shared" si="29"/>
        <v>35492210.644411355</v>
      </c>
      <c r="I34" s="52">
        <f t="shared" si="29"/>
        <v>36503067.83196816</v>
      </c>
      <c r="J34" s="52">
        <f t="shared" si="29"/>
        <v>32013663.64329721</v>
      </c>
      <c r="K34" s="52">
        <f t="shared" si="29"/>
        <v>30295021.919036858</v>
      </c>
      <c r="L34" s="52">
        <f t="shared" si="29"/>
        <v>29518731.93798315</v>
      </c>
      <c r="M34" s="52">
        <f t="shared" si="29"/>
        <v>27929586.99511361</v>
      </c>
      <c r="N34" s="38">
        <f t="shared" si="2"/>
        <v>7572974.738810793</v>
      </c>
      <c r="O34" s="28">
        <f>+E34/D34-1</f>
        <v>0.3374690943280019</v>
      </c>
      <c r="R34" s="31"/>
      <c r="S34" s="49" t="s">
        <v>284</v>
      </c>
      <c r="T34" s="50" t="s">
        <v>68</v>
      </c>
      <c r="U34" s="51">
        <f aca="true" t="shared" si="30" ref="U34:AD34">U28+U23+U31</f>
        <v>26419670</v>
      </c>
      <c r="V34" s="299">
        <f t="shared" si="30"/>
        <v>34865763</v>
      </c>
      <c r="W34" s="52">
        <v>38603947.37262499</v>
      </c>
      <c r="X34" s="52">
        <f t="shared" si="30"/>
        <v>40874775.134688154</v>
      </c>
      <c r="Y34" s="52">
        <f t="shared" si="30"/>
        <v>42185713.601249315</v>
      </c>
      <c r="Z34" s="52">
        <f t="shared" si="30"/>
        <v>43391958.188304186</v>
      </c>
      <c r="AA34" s="52">
        <f t="shared" si="30"/>
        <v>38662854.28562687</v>
      </c>
      <c r="AB34" s="52">
        <f t="shared" si="30"/>
        <v>36938696.875194386</v>
      </c>
      <c r="AC34" s="52">
        <f t="shared" si="30"/>
        <v>36339294.125925064</v>
      </c>
      <c r="AD34" s="52">
        <f t="shared" si="30"/>
        <v>34712198.6239689</v>
      </c>
    </row>
    <row r="35" spans="1:30" ht="14.25" thickBot="1">
      <c r="A35" s="53"/>
      <c r="B35" s="54" t="s">
        <v>285</v>
      </c>
      <c r="C35" s="55" t="s">
        <v>68</v>
      </c>
      <c r="D35" s="56">
        <f aca="true" t="shared" si="31" ref="D35:M35">D29</f>
        <v>353074</v>
      </c>
      <c r="E35" s="300">
        <f t="shared" si="31"/>
        <v>335680</v>
      </c>
      <c r="F35" s="57">
        <f t="shared" si="31"/>
        <v>343540</v>
      </c>
      <c r="G35" s="57">
        <f t="shared" si="31"/>
        <v>349723.72000000003</v>
      </c>
      <c r="H35" s="57">
        <f t="shared" si="31"/>
        <v>355669.02324</v>
      </c>
      <c r="I35" s="57">
        <f t="shared" si="31"/>
        <v>361715.39663508</v>
      </c>
      <c r="J35" s="57">
        <f t="shared" si="31"/>
        <v>367864.5583778763</v>
      </c>
      <c r="K35" s="57">
        <f t="shared" si="31"/>
        <v>374118.25587030017</v>
      </c>
      <c r="L35" s="57">
        <f t="shared" si="31"/>
        <v>380478.2662200952</v>
      </c>
      <c r="M35" s="57">
        <f t="shared" si="31"/>
        <v>386946.3967458368</v>
      </c>
      <c r="N35" s="58">
        <f t="shared" si="2"/>
        <v>-17394</v>
      </c>
      <c r="O35" s="59">
        <f>+E35/D35-1</f>
        <v>-0.0492644601415001</v>
      </c>
      <c r="R35" s="53"/>
      <c r="S35" s="54" t="s">
        <v>285</v>
      </c>
      <c r="T35" s="55" t="s">
        <v>68</v>
      </c>
      <c r="U35" s="56">
        <f aca="true" t="shared" si="32" ref="U35:AD35">U29</f>
        <v>426228</v>
      </c>
      <c r="V35" s="300">
        <f t="shared" si="32"/>
        <v>395579</v>
      </c>
      <c r="W35" s="57">
        <v>350552</v>
      </c>
      <c r="X35" s="57">
        <f t="shared" si="32"/>
        <v>356861.936</v>
      </c>
      <c r="Y35" s="57">
        <f t="shared" si="32"/>
        <v>362928.58891199995</v>
      </c>
      <c r="Z35" s="57">
        <f t="shared" si="32"/>
        <v>369098.3749235039</v>
      </c>
      <c r="AA35" s="57">
        <f t="shared" si="32"/>
        <v>375373.04729720345</v>
      </c>
      <c r="AB35" s="57">
        <f t="shared" si="32"/>
        <v>381754.38910125586</v>
      </c>
      <c r="AC35" s="57">
        <f t="shared" si="32"/>
        <v>388244.21371597715</v>
      </c>
      <c r="AD35" s="57">
        <f t="shared" si="32"/>
        <v>394844.36534914875</v>
      </c>
    </row>
    <row r="36" spans="1:30" ht="14.25" thickTop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Z36" s="60"/>
      <c r="AA36" s="60"/>
      <c r="AB36" s="60"/>
      <c r="AC36" s="60"/>
      <c r="AD36" s="60"/>
    </row>
    <row r="37" spans="1:30" ht="13.5" outlineLevel="1">
      <c r="A37" s="60"/>
      <c r="B37" s="60"/>
      <c r="C37" s="60"/>
      <c r="D37" s="61">
        <v>22441</v>
      </c>
      <c r="E37" s="61">
        <v>30013</v>
      </c>
      <c r="F37" s="61">
        <f aca="true" t="shared" si="33" ref="F37:M37">INT(F34/1000+0.5)</f>
        <v>34089</v>
      </c>
      <c r="G37" s="61">
        <f t="shared" si="33"/>
        <v>34394</v>
      </c>
      <c r="H37" s="61">
        <f t="shared" si="33"/>
        <v>35492</v>
      </c>
      <c r="I37" s="61">
        <f t="shared" si="33"/>
        <v>36503</v>
      </c>
      <c r="J37" s="61">
        <f t="shared" si="33"/>
        <v>32014</v>
      </c>
      <c r="K37" s="61">
        <f t="shared" si="33"/>
        <v>30295</v>
      </c>
      <c r="L37" s="61">
        <f t="shared" si="33"/>
        <v>29519</v>
      </c>
      <c r="M37" s="61">
        <f t="shared" si="33"/>
        <v>27930</v>
      </c>
      <c r="N37" s="61"/>
      <c r="U37" s="61">
        <v>26420</v>
      </c>
      <c r="V37" s="61">
        <v>34866</v>
      </c>
      <c r="W37" s="61">
        <f aca="true" t="shared" si="34" ref="W37:AD37">INT(W34/1000+0.5)</f>
        <v>38604</v>
      </c>
      <c r="X37" s="61">
        <f t="shared" si="34"/>
        <v>40875</v>
      </c>
      <c r="Y37" s="61">
        <f t="shared" si="34"/>
        <v>42186</v>
      </c>
      <c r="Z37" s="61">
        <f t="shared" si="34"/>
        <v>43392</v>
      </c>
      <c r="AA37" s="61">
        <f t="shared" si="34"/>
        <v>38663</v>
      </c>
      <c r="AB37" s="61">
        <f t="shared" si="34"/>
        <v>36939</v>
      </c>
      <c r="AC37" s="61">
        <f t="shared" si="34"/>
        <v>36339</v>
      </c>
      <c r="AD37" s="61">
        <f t="shared" si="34"/>
        <v>34712</v>
      </c>
    </row>
    <row r="38" spans="1:30" ht="13.5" outlineLevel="1">
      <c r="A38" s="62"/>
      <c r="B38" s="63"/>
      <c r="D38" s="61">
        <v>353</v>
      </c>
      <c r="E38" s="61">
        <v>336</v>
      </c>
      <c r="F38" s="61">
        <f aca="true" t="shared" si="35" ref="F38:M38">INT(F29/1000+0.5)</f>
        <v>344</v>
      </c>
      <c r="G38" s="61">
        <f t="shared" si="35"/>
        <v>350</v>
      </c>
      <c r="H38" s="61">
        <f t="shared" si="35"/>
        <v>356</v>
      </c>
      <c r="I38" s="61">
        <f t="shared" si="35"/>
        <v>362</v>
      </c>
      <c r="J38" s="61">
        <f t="shared" si="35"/>
        <v>368</v>
      </c>
      <c r="K38" s="61">
        <f t="shared" si="35"/>
        <v>374</v>
      </c>
      <c r="L38" s="61">
        <f t="shared" si="35"/>
        <v>380</v>
      </c>
      <c r="M38" s="61">
        <f t="shared" si="35"/>
        <v>387</v>
      </c>
      <c r="N38" s="61"/>
      <c r="Q38" s="64"/>
      <c r="U38" s="61">
        <v>426</v>
      </c>
      <c r="V38" s="61">
        <v>396</v>
      </c>
      <c r="W38" s="61">
        <f aca="true" t="shared" si="36" ref="W38:AD38">INT(W29/1000+0.5)</f>
        <v>351</v>
      </c>
      <c r="X38" s="61">
        <f t="shared" si="36"/>
        <v>357</v>
      </c>
      <c r="Y38" s="61">
        <f t="shared" si="36"/>
        <v>363</v>
      </c>
      <c r="Z38" s="61">
        <f t="shared" si="36"/>
        <v>369</v>
      </c>
      <c r="AA38" s="61">
        <f t="shared" si="36"/>
        <v>375</v>
      </c>
      <c r="AB38" s="61">
        <f t="shared" si="36"/>
        <v>382</v>
      </c>
      <c r="AC38" s="61">
        <f t="shared" si="36"/>
        <v>388</v>
      </c>
      <c r="AD38" s="61">
        <f t="shared" si="36"/>
        <v>395</v>
      </c>
    </row>
    <row r="39" spans="1:14" ht="13.5">
      <c r="A39" s="62"/>
      <c r="B39" s="62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1" ht="13.5">
      <c r="A40" s="15"/>
      <c r="B40" s="16"/>
      <c r="C40" s="17"/>
      <c r="D40" s="41"/>
      <c r="E40" s="41"/>
      <c r="K40" s="468" t="s">
        <v>620</v>
      </c>
    </row>
    <row r="41" spans="1:14" ht="13.5">
      <c r="A41" s="788" t="s">
        <v>256</v>
      </c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</row>
    <row r="42" spans="1:28" ht="13.5">
      <c r="A42" s="788" t="s">
        <v>286</v>
      </c>
      <c r="B42" s="788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S42" s="571" t="s">
        <v>319</v>
      </c>
      <c r="AB42" s="468" t="s">
        <v>620</v>
      </c>
    </row>
    <row r="43" spans="1:14" ht="13.5">
      <c r="A43" s="787" t="s">
        <v>317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787"/>
    </row>
    <row r="44" spans="2:14" ht="12" customHeight="1">
      <c r="B44" s="34"/>
      <c r="C44" s="65"/>
      <c r="D44" s="65"/>
      <c r="E44" s="65"/>
      <c r="F44" s="65"/>
      <c r="G44" s="65"/>
      <c r="H44" s="65"/>
      <c r="N44" s="65"/>
    </row>
    <row r="45" spans="1:30" ht="13.5">
      <c r="A45" s="572"/>
      <c r="B45" s="573"/>
      <c r="C45" s="574"/>
      <c r="D45" s="575"/>
      <c r="E45" s="575" t="s">
        <v>258</v>
      </c>
      <c r="F45" s="575" t="s">
        <v>315</v>
      </c>
      <c r="G45" s="575" t="s">
        <v>315</v>
      </c>
      <c r="H45" s="575" t="s">
        <v>315</v>
      </c>
      <c r="I45" s="575" t="s">
        <v>315</v>
      </c>
      <c r="J45" s="575" t="s">
        <v>315</v>
      </c>
      <c r="K45" s="575" t="s">
        <v>315</v>
      </c>
      <c r="L45" s="575" t="s">
        <v>315</v>
      </c>
      <c r="M45" s="575" t="s">
        <v>315</v>
      </c>
      <c r="N45" s="785" t="s">
        <v>62</v>
      </c>
      <c r="O45" s="786"/>
      <c r="R45" s="572"/>
      <c r="S45" s="573"/>
      <c r="T45" s="574"/>
      <c r="U45" s="575"/>
      <c r="V45" s="575" t="s">
        <v>258</v>
      </c>
      <c r="W45" s="575" t="s">
        <v>315</v>
      </c>
      <c r="X45" s="575" t="s">
        <v>315</v>
      </c>
      <c r="Y45" s="575" t="s">
        <v>315</v>
      </c>
      <c r="Z45" s="575" t="s">
        <v>315</v>
      </c>
      <c r="AA45" s="575" t="s">
        <v>315</v>
      </c>
      <c r="AB45" s="575" t="s">
        <v>315</v>
      </c>
      <c r="AC45" s="575" t="s">
        <v>315</v>
      </c>
      <c r="AD45" s="575" t="s">
        <v>315</v>
      </c>
    </row>
    <row r="46" spans="1:30" ht="13.5">
      <c r="A46" s="576"/>
      <c r="B46" s="577" t="s">
        <v>259</v>
      </c>
      <c r="C46" s="578" t="s">
        <v>59</v>
      </c>
      <c r="D46" s="579" t="s">
        <v>3</v>
      </c>
      <c r="E46" s="579" t="s">
        <v>10</v>
      </c>
      <c r="F46" s="580"/>
      <c r="G46" s="580"/>
      <c r="H46" s="580"/>
      <c r="I46" s="580"/>
      <c r="J46" s="580"/>
      <c r="K46" s="580"/>
      <c r="L46" s="580"/>
      <c r="M46" s="580"/>
      <c r="N46" s="581"/>
      <c r="O46" s="582"/>
      <c r="R46" s="576"/>
      <c r="S46" s="577" t="s">
        <v>259</v>
      </c>
      <c r="T46" s="578" t="s">
        <v>59</v>
      </c>
      <c r="U46" s="579" t="s">
        <v>3</v>
      </c>
      <c r="V46" s="579" t="s">
        <v>10</v>
      </c>
      <c r="W46" s="580"/>
      <c r="X46" s="580"/>
      <c r="Y46" s="580"/>
      <c r="Z46" s="580"/>
      <c r="AA46" s="580"/>
      <c r="AB46" s="580"/>
      <c r="AC46" s="580"/>
      <c r="AD46" s="580"/>
    </row>
    <row r="47" spans="1:30" ht="13.5">
      <c r="A47" s="583"/>
      <c r="B47" s="584"/>
      <c r="C47" s="584"/>
      <c r="D47" s="585">
        <v>2013</v>
      </c>
      <c r="E47" s="585">
        <v>2014</v>
      </c>
      <c r="F47" s="585">
        <v>2015</v>
      </c>
      <c r="G47" s="585">
        <v>2016</v>
      </c>
      <c r="H47" s="585">
        <v>2017</v>
      </c>
      <c r="I47" s="585">
        <v>2018</v>
      </c>
      <c r="J47" s="585">
        <v>2019</v>
      </c>
      <c r="K47" s="585">
        <v>2020</v>
      </c>
      <c r="L47" s="585">
        <v>2021</v>
      </c>
      <c r="M47" s="585">
        <v>2022</v>
      </c>
      <c r="N47" s="586" t="s">
        <v>260</v>
      </c>
      <c r="O47" s="587" t="s">
        <v>261</v>
      </c>
      <c r="R47" s="583"/>
      <c r="S47" s="584"/>
      <c r="T47" s="584"/>
      <c r="U47" s="585">
        <v>2013</v>
      </c>
      <c r="V47" s="585">
        <v>2014</v>
      </c>
      <c r="W47" s="585">
        <v>2015</v>
      </c>
      <c r="X47" s="585">
        <v>2016</v>
      </c>
      <c r="Y47" s="585">
        <v>2017</v>
      </c>
      <c r="Z47" s="585">
        <v>2018</v>
      </c>
      <c r="AA47" s="585">
        <v>2019</v>
      </c>
      <c r="AB47" s="585">
        <v>2020</v>
      </c>
      <c r="AC47" s="585">
        <v>2021</v>
      </c>
      <c r="AD47" s="585">
        <v>2022</v>
      </c>
    </row>
    <row r="48" spans="1:30" ht="13.5">
      <c r="A48" s="66"/>
      <c r="B48" s="15" t="s">
        <v>287</v>
      </c>
      <c r="C48" s="15"/>
      <c r="D48" s="31"/>
      <c r="E48" s="67"/>
      <c r="F48" s="100"/>
      <c r="G48" s="100"/>
      <c r="H48" s="100"/>
      <c r="I48" s="188"/>
      <c r="J48" s="188"/>
      <c r="K48" s="188"/>
      <c r="L48" s="188"/>
      <c r="M48" s="188"/>
      <c r="N48" s="45"/>
      <c r="O48" s="22"/>
      <c r="R48" s="66"/>
      <c r="S48" s="15" t="s">
        <v>287</v>
      </c>
      <c r="T48" s="15"/>
      <c r="U48" s="31"/>
      <c r="V48" s="100"/>
      <c r="W48" s="100"/>
      <c r="X48" s="100"/>
      <c r="Y48" s="103"/>
      <c r="Z48" s="188"/>
      <c r="AA48" s="188"/>
      <c r="AB48" s="188"/>
      <c r="AC48" s="188"/>
      <c r="AD48" s="188"/>
    </row>
    <row r="49" spans="1:30" ht="13.5">
      <c r="A49" s="66"/>
      <c r="B49" s="15" t="s">
        <v>288</v>
      </c>
      <c r="C49" s="68" t="s">
        <v>289</v>
      </c>
      <c r="D49" s="69">
        <f aca="true" t="shared" si="37" ref="D49:M49">+D50+D51</f>
        <v>241154</v>
      </c>
      <c r="E49" s="70">
        <f t="shared" si="37"/>
        <v>242946</v>
      </c>
      <c r="F49" s="70">
        <f t="shared" si="37"/>
        <v>262260</v>
      </c>
      <c r="G49" s="70">
        <f t="shared" si="37"/>
        <v>262260</v>
      </c>
      <c r="H49" s="70">
        <f t="shared" si="37"/>
        <v>262260</v>
      </c>
      <c r="I49" s="70">
        <f t="shared" si="37"/>
        <v>262260</v>
      </c>
      <c r="J49" s="70">
        <f t="shared" si="37"/>
        <v>262260</v>
      </c>
      <c r="K49" s="70">
        <f t="shared" si="37"/>
        <v>239617</v>
      </c>
      <c r="L49" s="70">
        <f t="shared" si="37"/>
        <v>239617</v>
      </c>
      <c r="M49" s="70">
        <f t="shared" si="37"/>
        <v>239617</v>
      </c>
      <c r="N49" s="48">
        <f>+E49-D49</f>
        <v>1792</v>
      </c>
      <c r="O49" s="28">
        <f aca="true" t="shared" si="38" ref="O49:O78">+E49/D49-1</f>
        <v>0.0074309362482065655</v>
      </c>
      <c r="R49" s="66"/>
      <c r="S49" s="15" t="s">
        <v>288</v>
      </c>
      <c r="T49" s="68" t="s">
        <v>289</v>
      </c>
      <c r="U49" s="69">
        <f aca="true" t="shared" si="39" ref="U49:AD49">+U50+U51</f>
        <v>274174</v>
      </c>
      <c r="V49" s="287">
        <f t="shared" si="39"/>
        <v>264516</v>
      </c>
      <c r="W49" s="70">
        <f t="shared" si="39"/>
        <v>290094</v>
      </c>
      <c r="X49" s="70">
        <f t="shared" si="39"/>
        <v>290094</v>
      </c>
      <c r="Y49" s="70">
        <f t="shared" si="39"/>
        <v>290094</v>
      </c>
      <c r="Z49" s="70">
        <f t="shared" si="39"/>
        <v>290094</v>
      </c>
      <c r="AA49" s="70">
        <f t="shared" si="39"/>
        <v>290094</v>
      </c>
      <c r="AB49" s="70">
        <f t="shared" si="39"/>
        <v>267451</v>
      </c>
      <c r="AC49" s="70">
        <f t="shared" si="39"/>
        <v>267451</v>
      </c>
      <c r="AD49" s="70">
        <f t="shared" si="39"/>
        <v>267451</v>
      </c>
    </row>
    <row r="50" spans="1:30" ht="13.5">
      <c r="A50" s="66"/>
      <c r="B50" s="45" t="s">
        <v>290</v>
      </c>
      <c r="C50" s="71" t="s">
        <v>289</v>
      </c>
      <c r="D50" s="14">
        <v>62043</v>
      </c>
      <c r="E50" s="72">
        <v>74050</v>
      </c>
      <c r="F50" s="72">
        <v>86221</v>
      </c>
      <c r="G50" s="72">
        <f>F50</f>
        <v>86221</v>
      </c>
      <c r="H50" s="72">
        <f aca="true" t="shared" si="40" ref="H50:M50">G50</f>
        <v>86221</v>
      </c>
      <c r="I50" s="72">
        <f t="shared" si="40"/>
        <v>86221</v>
      </c>
      <c r="J50" s="72">
        <f t="shared" si="40"/>
        <v>86221</v>
      </c>
      <c r="K50" s="72">
        <f t="shared" si="40"/>
        <v>86221</v>
      </c>
      <c r="L50" s="72">
        <f t="shared" si="40"/>
        <v>86221</v>
      </c>
      <c r="M50" s="72">
        <f t="shared" si="40"/>
        <v>86221</v>
      </c>
      <c r="N50" s="44">
        <f>+E50-D50</f>
        <v>12007</v>
      </c>
      <c r="O50" s="28">
        <f t="shared" si="38"/>
        <v>0.1935270699353675</v>
      </c>
      <c r="R50" s="66"/>
      <c r="S50" s="45" t="s">
        <v>290</v>
      </c>
      <c r="T50" s="71" t="s">
        <v>289</v>
      </c>
      <c r="U50" s="14">
        <v>95063</v>
      </c>
      <c r="V50" s="288">
        <v>95620</v>
      </c>
      <c r="W50" s="72">
        <v>114055</v>
      </c>
      <c r="X50" s="72">
        <v>114055</v>
      </c>
      <c r="Y50" s="72">
        <v>114055</v>
      </c>
      <c r="Z50" s="72">
        <v>114055</v>
      </c>
      <c r="AA50" s="72">
        <v>114055</v>
      </c>
      <c r="AB50" s="72">
        <v>114055</v>
      </c>
      <c r="AC50" s="72">
        <v>114055</v>
      </c>
      <c r="AD50" s="72">
        <v>114055</v>
      </c>
    </row>
    <row r="51" spans="1:30" ht="13.5">
      <c r="A51" s="66"/>
      <c r="B51" s="45" t="s">
        <v>291</v>
      </c>
      <c r="C51" s="71" t="s">
        <v>289</v>
      </c>
      <c r="D51" s="14">
        <v>179111</v>
      </c>
      <c r="E51" s="72">
        <f>V51</f>
        <v>168896</v>
      </c>
      <c r="F51" s="588">
        <f aca="true" t="shared" si="41" ref="F51:M52">W51</f>
        <v>176039</v>
      </c>
      <c r="G51" s="588">
        <f t="shared" si="41"/>
        <v>176039</v>
      </c>
      <c r="H51" s="588">
        <f t="shared" si="41"/>
        <v>176039</v>
      </c>
      <c r="I51" s="588">
        <f t="shared" si="41"/>
        <v>176039</v>
      </c>
      <c r="J51" s="588">
        <f t="shared" si="41"/>
        <v>176039</v>
      </c>
      <c r="K51" s="588">
        <f>AB51</f>
        <v>153396</v>
      </c>
      <c r="L51" s="588">
        <f t="shared" si="41"/>
        <v>153396</v>
      </c>
      <c r="M51" s="588">
        <f t="shared" si="41"/>
        <v>153396</v>
      </c>
      <c r="N51" s="44">
        <f>+E51-D51</f>
        <v>-10215</v>
      </c>
      <c r="O51" s="28">
        <f t="shared" si="38"/>
        <v>-0.05703167309657142</v>
      </c>
      <c r="R51" s="66"/>
      <c r="S51" s="45" t="s">
        <v>291</v>
      </c>
      <c r="T51" s="71" t="s">
        <v>289</v>
      </c>
      <c r="U51" s="14">
        <v>179111</v>
      </c>
      <c r="V51" s="288">
        <v>168896</v>
      </c>
      <c r="W51" s="72">
        <v>176039</v>
      </c>
      <c r="X51" s="72">
        <v>176039</v>
      </c>
      <c r="Y51" s="72">
        <v>176039</v>
      </c>
      <c r="Z51" s="72">
        <v>176039</v>
      </c>
      <c r="AA51" s="72">
        <v>176039</v>
      </c>
      <c r="AB51" s="72">
        <f>176039-22643</f>
        <v>153396</v>
      </c>
      <c r="AC51" s="72">
        <f>176039-22643</f>
        <v>153396</v>
      </c>
      <c r="AD51" s="72">
        <f>176039-22643</f>
        <v>153396</v>
      </c>
    </row>
    <row r="52" spans="1:30" ht="13.5">
      <c r="A52" s="66"/>
      <c r="B52" s="45" t="s">
        <v>621</v>
      </c>
      <c r="C52" s="71" t="s">
        <v>289</v>
      </c>
      <c r="D52" s="14"/>
      <c r="E52" s="72"/>
      <c r="F52" s="588"/>
      <c r="G52" s="588"/>
      <c r="H52" s="588"/>
      <c r="I52" s="588"/>
      <c r="J52" s="588">
        <f>AA52</f>
        <v>22184</v>
      </c>
      <c r="K52" s="588">
        <f>AB52</f>
        <v>44644</v>
      </c>
      <c r="L52" s="588">
        <f t="shared" si="41"/>
        <v>44644</v>
      </c>
      <c r="M52" s="588">
        <f t="shared" si="41"/>
        <v>44644</v>
      </c>
      <c r="N52" s="44"/>
      <c r="O52" s="28"/>
      <c r="R52" s="66"/>
      <c r="S52" s="45" t="s">
        <v>621</v>
      </c>
      <c r="T52" s="71" t="s">
        <v>289</v>
      </c>
      <c r="U52" s="14"/>
      <c r="V52" s="288"/>
      <c r="W52" s="72"/>
      <c r="X52" s="72"/>
      <c r="Y52" s="72"/>
      <c r="Z52" s="72"/>
      <c r="AA52" s="72">
        <v>22184</v>
      </c>
      <c r="AB52" s="72">
        <f>+AA52+22460</f>
        <v>44644</v>
      </c>
      <c r="AC52" s="72">
        <f>AB52</f>
        <v>44644</v>
      </c>
      <c r="AD52" s="72">
        <f>AC52</f>
        <v>44644</v>
      </c>
    </row>
    <row r="53" spans="1:30" ht="13.5">
      <c r="A53" s="66"/>
      <c r="B53" s="15" t="s">
        <v>292</v>
      </c>
      <c r="C53" s="68" t="s">
        <v>293</v>
      </c>
      <c r="D53" s="69">
        <v>59986</v>
      </c>
      <c r="E53" s="70">
        <v>59900</v>
      </c>
      <c r="F53" s="70">
        <v>59810.801400000004</v>
      </c>
      <c r="G53" s="70"/>
      <c r="H53" s="70"/>
      <c r="I53" s="70"/>
      <c r="J53" s="70"/>
      <c r="K53" s="70"/>
      <c r="L53" s="70"/>
      <c r="M53" s="70"/>
      <c r="N53" s="48">
        <f>+E53-D53</f>
        <v>-86</v>
      </c>
      <c r="O53" s="28">
        <f t="shared" si="38"/>
        <v>-0.0014336678558329874</v>
      </c>
      <c r="R53" s="66"/>
      <c r="S53" s="15" t="s">
        <v>292</v>
      </c>
      <c r="T53" s="68" t="s">
        <v>293</v>
      </c>
      <c r="U53" s="69">
        <v>61080</v>
      </c>
      <c r="V53" s="287">
        <v>60157</v>
      </c>
      <c r="W53" s="70">
        <v>61031.42999999999</v>
      </c>
      <c r="X53" s="70"/>
      <c r="Y53" s="70"/>
      <c r="Z53" s="70"/>
      <c r="AA53" s="70"/>
      <c r="AB53" s="70"/>
      <c r="AC53" s="70"/>
      <c r="AD53" s="70"/>
    </row>
    <row r="54" spans="1:30" ht="13.5">
      <c r="A54" s="66"/>
      <c r="B54" s="15" t="s">
        <v>294</v>
      </c>
      <c r="C54" s="15"/>
      <c r="D54" s="31"/>
      <c r="E54" s="67"/>
      <c r="F54" s="67"/>
      <c r="G54" s="67"/>
      <c r="H54" s="67"/>
      <c r="I54" s="67"/>
      <c r="J54" s="67"/>
      <c r="K54" s="67"/>
      <c r="L54" s="67"/>
      <c r="M54" s="67"/>
      <c r="N54" s="45"/>
      <c r="O54" s="28"/>
      <c r="R54" s="66"/>
      <c r="S54" s="15" t="s">
        <v>294</v>
      </c>
      <c r="T54" s="15"/>
      <c r="U54" s="79"/>
      <c r="V54" s="101"/>
      <c r="W54" s="133"/>
      <c r="X54" s="79"/>
      <c r="Y54" s="101"/>
      <c r="Z54" s="67"/>
      <c r="AA54" s="67"/>
      <c r="AB54" s="67"/>
      <c r="AC54" s="67"/>
      <c r="AD54" s="67"/>
    </row>
    <row r="55" spans="1:30" ht="13.5">
      <c r="A55" s="66"/>
      <c r="B55" s="15" t="s">
        <v>288</v>
      </c>
      <c r="C55" s="68" t="s">
        <v>295</v>
      </c>
      <c r="D55" s="73">
        <f aca="true" t="shared" si="42" ref="D55:M55">+D61/D49</f>
        <v>15.048794546223576</v>
      </c>
      <c r="E55" s="74">
        <f t="shared" si="42"/>
        <v>14.58079984852601</v>
      </c>
      <c r="F55" s="74">
        <f t="shared" si="42"/>
        <v>14.805481811942348</v>
      </c>
      <c r="G55" s="74">
        <f t="shared" si="42"/>
        <v>14.805481811942348</v>
      </c>
      <c r="H55" s="74">
        <f t="shared" si="42"/>
        <v>14.805481811942348</v>
      </c>
      <c r="I55" s="74">
        <f t="shared" si="42"/>
        <v>14.805481811942348</v>
      </c>
      <c r="J55" s="74">
        <f t="shared" si="42"/>
        <v>14.805481811942348</v>
      </c>
      <c r="K55" s="74">
        <f t="shared" si="42"/>
        <v>15.091779088267046</v>
      </c>
      <c r="L55" s="74">
        <f t="shared" si="42"/>
        <v>15.091779088267046</v>
      </c>
      <c r="M55" s="74">
        <f t="shared" si="42"/>
        <v>15.091779088267046</v>
      </c>
      <c r="N55" s="62">
        <f>+E55-D55</f>
        <v>-0.4679946976975664</v>
      </c>
      <c r="O55" s="28">
        <f t="shared" si="38"/>
        <v>-0.031098484085225753</v>
      </c>
      <c r="R55" s="66"/>
      <c r="S55" s="15" t="s">
        <v>288</v>
      </c>
      <c r="T55" s="68" t="s">
        <v>295</v>
      </c>
      <c r="U55" s="73">
        <f aca="true" t="shared" si="43" ref="U55:AD55">+U61/U49</f>
        <v>15.148646479972571</v>
      </c>
      <c r="V55" s="289">
        <f t="shared" si="43"/>
        <v>15.109482980235601</v>
      </c>
      <c r="W55" s="74">
        <f t="shared" si="43"/>
        <v>15.464618434024835</v>
      </c>
      <c r="X55" s="74">
        <f t="shared" si="43"/>
        <v>15.464618434024835</v>
      </c>
      <c r="Y55" s="74">
        <f t="shared" si="43"/>
        <v>15.464618434024835</v>
      </c>
      <c r="Z55" s="74">
        <f t="shared" si="43"/>
        <v>15.464618434024835</v>
      </c>
      <c r="AA55" s="74">
        <f t="shared" si="43"/>
        <v>15.464618434024835</v>
      </c>
      <c r="AB55" s="74">
        <f t="shared" si="43"/>
        <v>15.775127222078527</v>
      </c>
      <c r="AC55" s="74">
        <f t="shared" si="43"/>
        <v>15.775127222078527</v>
      </c>
      <c r="AD55" s="74">
        <f t="shared" si="43"/>
        <v>15.775127222078527</v>
      </c>
    </row>
    <row r="56" spans="1:30" ht="13.5">
      <c r="A56" s="66"/>
      <c r="B56" s="45" t="s">
        <v>290</v>
      </c>
      <c r="C56" s="71" t="s">
        <v>295</v>
      </c>
      <c r="D56" s="75">
        <v>25.9</v>
      </c>
      <c r="E56" s="76">
        <v>21.08</v>
      </c>
      <c r="F56" s="76">
        <v>20.9912937683395</v>
      </c>
      <c r="G56" s="76">
        <v>20.9912937683395</v>
      </c>
      <c r="H56" s="76">
        <v>20.9912937683395</v>
      </c>
      <c r="I56" s="76">
        <v>20.9912937683395</v>
      </c>
      <c r="J56" s="76">
        <v>20.9912937683395</v>
      </c>
      <c r="K56" s="76">
        <v>20.9912937683395</v>
      </c>
      <c r="L56" s="76">
        <v>20.9912937683395</v>
      </c>
      <c r="M56" s="76">
        <v>20.9912937683395</v>
      </c>
      <c r="N56" s="62">
        <f>+E56-D56</f>
        <v>-4.82</v>
      </c>
      <c r="O56" s="28">
        <f t="shared" si="38"/>
        <v>-0.18610038610038615</v>
      </c>
      <c r="R56" s="66"/>
      <c r="S56" s="45" t="s">
        <v>290</v>
      </c>
      <c r="T56" s="71" t="s">
        <v>295</v>
      </c>
      <c r="U56" s="75">
        <v>22.41</v>
      </c>
      <c r="V56" s="290">
        <v>21.08</v>
      </c>
      <c r="W56" s="76">
        <v>21.12543027486739</v>
      </c>
      <c r="X56" s="76">
        <v>21.12543027486739</v>
      </c>
      <c r="Y56" s="76">
        <v>21.12543027486739</v>
      </c>
      <c r="Z56" s="76">
        <v>21.12543027486739</v>
      </c>
      <c r="AA56" s="76">
        <v>21.12543027486739</v>
      </c>
      <c r="AB56" s="76">
        <v>21.12543027486739</v>
      </c>
      <c r="AC56" s="76">
        <v>21.12543027486739</v>
      </c>
      <c r="AD56" s="76">
        <v>21.12543027486739</v>
      </c>
    </row>
    <row r="57" spans="1:30" ht="13.5">
      <c r="A57" s="66"/>
      <c r="B57" s="45" t="s">
        <v>291</v>
      </c>
      <c r="C57" s="71" t="s">
        <v>295</v>
      </c>
      <c r="D57" s="75">
        <v>11.29</v>
      </c>
      <c r="E57" s="76">
        <v>11.73</v>
      </c>
      <c r="F57" s="76">
        <v>11.77577309573447</v>
      </c>
      <c r="G57" s="76">
        <v>11.77577309573447</v>
      </c>
      <c r="H57" s="76">
        <v>11.77577309573447</v>
      </c>
      <c r="I57" s="76">
        <v>11.77577309573447</v>
      </c>
      <c r="J57" s="76">
        <v>11.77577309573447</v>
      </c>
      <c r="K57" s="76">
        <v>11.77577309573447</v>
      </c>
      <c r="L57" s="76">
        <v>11.77577309573447</v>
      </c>
      <c r="M57" s="76">
        <v>11.77577309573447</v>
      </c>
      <c r="N57" s="62">
        <f>+E57-D57</f>
        <v>0.4400000000000013</v>
      </c>
      <c r="O57" s="28">
        <f t="shared" si="38"/>
        <v>0.03897254207263079</v>
      </c>
      <c r="R57" s="66"/>
      <c r="S57" s="45" t="s">
        <v>291</v>
      </c>
      <c r="T57" s="71" t="s">
        <v>295</v>
      </c>
      <c r="U57" s="75">
        <v>11.29</v>
      </c>
      <c r="V57" s="290">
        <v>11.73</v>
      </c>
      <c r="W57" s="76">
        <v>11.79699992615273</v>
      </c>
      <c r="X57" s="76">
        <v>11.79699992615273</v>
      </c>
      <c r="Y57" s="76">
        <v>11.79699992615273</v>
      </c>
      <c r="Z57" s="76">
        <v>11.79699992615273</v>
      </c>
      <c r="AA57" s="76">
        <v>11.79699992615273</v>
      </c>
      <c r="AB57" s="76">
        <v>11.79699992615273</v>
      </c>
      <c r="AC57" s="76">
        <v>11.79699992615273</v>
      </c>
      <c r="AD57" s="76">
        <v>11.79699992615273</v>
      </c>
    </row>
    <row r="58" spans="1:30" ht="13.5">
      <c r="A58" s="66"/>
      <c r="B58" s="45" t="s">
        <v>621</v>
      </c>
      <c r="C58" s="71" t="s">
        <v>295</v>
      </c>
      <c r="D58" s="75"/>
      <c r="E58" s="76"/>
      <c r="F58" s="76"/>
      <c r="G58" s="76"/>
      <c r="H58" s="76"/>
      <c r="I58" s="76"/>
      <c r="J58" s="76">
        <v>3.19</v>
      </c>
      <c r="K58" s="76">
        <v>3.19</v>
      </c>
      <c r="L58" s="76">
        <v>3.19</v>
      </c>
      <c r="M58" s="76">
        <v>3.19</v>
      </c>
      <c r="N58" s="62"/>
      <c r="O58" s="28"/>
      <c r="R58" s="66"/>
      <c r="S58" s="45" t="s">
        <v>621</v>
      </c>
      <c r="T58" s="71" t="s">
        <v>295</v>
      </c>
      <c r="U58" s="75"/>
      <c r="V58" s="290"/>
      <c r="W58" s="76"/>
      <c r="X58" s="76"/>
      <c r="Y58" s="76"/>
      <c r="Z58" s="76"/>
      <c r="AA58" s="76">
        <v>3.19</v>
      </c>
      <c r="AB58" s="76">
        <v>3.19</v>
      </c>
      <c r="AC58" s="76">
        <v>3.19</v>
      </c>
      <c r="AD58" s="76">
        <v>3.19</v>
      </c>
    </row>
    <row r="59" spans="1:30" ht="13.5">
      <c r="A59" s="66"/>
      <c r="B59" s="15" t="s">
        <v>292</v>
      </c>
      <c r="C59" s="68" t="s">
        <v>295</v>
      </c>
      <c r="D59" s="73">
        <v>11.94</v>
      </c>
      <c r="E59" s="74">
        <v>12.23</v>
      </c>
      <c r="F59" s="74">
        <v>12.136119773041528</v>
      </c>
      <c r="G59" s="74"/>
      <c r="H59" s="74"/>
      <c r="I59" s="74"/>
      <c r="J59" s="74"/>
      <c r="K59" s="74"/>
      <c r="L59" s="74"/>
      <c r="M59" s="74"/>
      <c r="N59" s="62">
        <f>+E59-D59</f>
        <v>0.2900000000000009</v>
      </c>
      <c r="O59" s="28">
        <f t="shared" si="38"/>
        <v>0.024288107202680154</v>
      </c>
      <c r="R59" s="66"/>
      <c r="S59" s="15" t="s">
        <v>292</v>
      </c>
      <c r="T59" s="68" t="s">
        <v>295</v>
      </c>
      <c r="U59" s="73">
        <v>11.94</v>
      </c>
      <c r="V59" s="289">
        <v>12.23</v>
      </c>
      <c r="W59" s="74">
        <v>12.13611977304153</v>
      </c>
      <c r="X59" s="74"/>
      <c r="Y59" s="74"/>
      <c r="Z59" s="74"/>
      <c r="AA59" s="74"/>
      <c r="AB59" s="74"/>
      <c r="AC59" s="74"/>
      <c r="AD59" s="74"/>
    </row>
    <row r="60" spans="1:30" ht="13.5">
      <c r="A60" s="66"/>
      <c r="B60" s="15" t="s">
        <v>296</v>
      </c>
      <c r="C60" s="68" t="s">
        <v>297</v>
      </c>
      <c r="D60" s="77">
        <f aca="true" t="shared" si="44" ref="D60:M60">+D61+D65+D66+D67</f>
        <v>4388837</v>
      </c>
      <c r="E60" s="78">
        <f t="shared" si="44"/>
        <v>4281234</v>
      </c>
      <c r="F60" s="78">
        <f t="shared" si="44"/>
        <v>4620451.709512</v>
      </c>
      <c r="G60" s="78">
        <f t="shared" si="44"/>
        <v>3894580.66</v>
      </c>
      <c r="H60" s="78">
        <f t="shared" si="44"/>
        <v>3894580.66</v>
      </c>
      <c r="I60" s="78">
        <f t="shared" si="44"/>
        <v>3894580.66</v>
      </c>
      <c r="J60" s="78">
        <f t="shared" si="44"/>
        <v>3894580.66</v>
      </c>
      <c r="K60" s="78">
        <f t="shared" si="44"/>
        <v>3627941.8297932846</v>
      </c>
      <c r="L60" s="78">
        <f t="shared" si="44"/>
        <v>3627941.8297932846</v>
      </c>
      <c r="M60" s="78">
        <f t="shared" si="44"/>
        <v>3627941.8297932846</v>
      </c>
      <c r="N60" s="48">
        <f aca="true" t="shared" si="45" ref="N60:N80">+E60-D60</f>
        <v>-107603</v>
      </c>
      <c r="O60" s="28">
        <f t="shared" si="38"/>
        <v>-0.024517429104794708</v>
      </c>
      <c r="P60" s="64">
        <f>+N60*D68</f>
        <v>-204445.69999999998</v>
      </c>
      <c r="R60" s="66"/>
      <c r="S60" s="15" t="s">
        <v>296</v>
      </c>
      <c r="T60" s="68" t="s">
        <v>297</v>
      </c>
      <c r="U60" s="77">
        <f aca="true" t="shared" si="46" ref="U60:AD60">+U61+U65+U66+U67</f>
        <v>4917925</v>
      </c>
      <c r="V60" s="291">
        <f t="shared" si="46"/>
        <v>4742321</v>
      </c>
      <c r="W60" s="78">
        <f t="shared" si="46"/>
        <v>5238572.764400001</v>
      </c>
      <c r="X60" s="78">
        <f t="shared" si="46"/>
        <v>4497888.0200000005</v>
      </c>
      <c r="Y60" s="78">
        <f t="shared" si="46"/>
        <v>4497888.0200000005</v>
      </c>
      <c r="Z60" s="78">
        <f t="shared" si="46"/>
        <v>4497888.0200000005</v>
      </c>
      <c r="AA60" s="78">
        <f t="shared" si="46"/>
        <v>4497888.0200000005</v>
      </c>
      <c r="AB60" s="78">
        <f t="shared" si="46"/>
        <v>4230768.550672124</v>
      </c>
      <c r="AC60" s="78">
        <f t="shared" si="46"/>
        <v>4230768.550672124</v>
      </c>
      <c r="AD60" s="78">
        <f t="shared" si="46"/>
        <v>4230768.550672124</v>
      </c>
    </row>
    <row r="61" spans="1:30" ht="13.5">
      <c r="A61" s="66"/>
      <c r="B61" s="45" t="s">
        <v>288</v>
      </c>
      <c r="C61" s="71" t="s">
        <v>297</v>
      </c>
      <c r="D61" s="79">
        <f aca="true" t="shared" si="47" ref="D61:M61">+D62+D63</f>
        <v>3629077</v>
      </c>
      <c r="E61" s="80">
        <f t="shared" si="47"/>
        <v>3542347</v>
      </c>
      <c r="F61" s="80">
        <f t="shared" si="47"/>
        <v>3882885.66</v>
      </c>
      <c r="G61" s="80">
        <f t="shared" si="47"/>
        <v>3882885.66</v>
      </c>
      <c r="H61" s="80">
        <f t="shared" si="47"/>
        <v>3882885.66</v>
      </c>
      <c r="I61" s="80">
        <f t="shared" si="47"/>
        <v>3882885.66</v>
      </c>
      <c r="J61" s="80">
        <f t="shared" si="47"/>
        <v>3882885.66</v>
      </c>
      <c r="K61" s="80">
        <f t="shared" si="47"/>
        <v>3616246.8297932846</v>
      </c>
      <c r="L61" s="80">
        <f t="shared" si="47"/>
        <v>3616246.8297932846</v>
      </c>
      <c r="M61" s="80">
        <f t="shared" si="47"/>
        <v>3616246.8297932846</v>
      </c>
      <c r="N61" s="44">
        <f t="shared" si="45"/>
        <v>-86730</v>
      </c>
      <c r="O61" s="28">
        <f t="shared" si="38"/>
        <v>-0.023898638689672347</v>
      </c>
      <c r="R61" s="66"/>
      <c r="S61" s="45" t="s">
        <v>288</v>
      </c>
      <c r="T61" s="71" t="s">
        <v>297</v>
      </c>
      <c r="U61" s="79">
        <f aca="true" t="shared" si="48" ref="U61:AD61">+U62+U63</f>
        <v>4153365</v>
      </c>
      <c r="V61" s="101">
        <f t="shared" si="48"/>
        <v>3996700</v>
      </c>
      <c r="W61" s="80">
        <f t="shared" si="48"/>
        <v>4486193.0200000005</v>
      </c>
      <c r="X61" s="80">
        <f t="shared" si="48"/>
        <v>4486193.0200000005</v>
      </c>
      <c r="Y61" s="80">
        <f t="shared" si="48"/>
        <v>4486193.0200000005</v>
      </c>
      <c r="Z61" s="80">
        <f t="shared" si="48"/>
        <v>4486193.0200000005</v>
      </c>
      <c r="AA61" s="80">
        <f t="shared" si="48"/>
        <v>4486193.0200000005</v>
      </c>
      <c r="AB61" s="80">
        <f t="shared" si="48"/>
        <v>4219073.550672124</v>
      </c>
      <c r="AC61" s="80">
        <f t="shared" si="48"/>
        <v>4219073.550672124</v>
      </c>
      <c r="AD61" s="80">
        <f t="shared" si="48"/>
        <v>4219073.550672124</v>
      </c>
    </row>
    <row r="62" spans="1:30" ht="13.5">
      <c r="A62" s="66"/>
      <c r="B62" s="45" t="s">
        <v>290</v>
      </c>
      <c r="C62" s="71" t="s">
        <v>297</v>
      </c>
      <c r="D62" s="79">
        <v>1606914</v>
      </c>
      <c r="E62" s="80">
        <f aca="true" t="shared" si="49" ref="E62:M65">E50*E56</f>
        <v>1560973.9999999998</v>
      </c>
      <c r="F62" s="80">
        <f t="shared" si="49"/>
        <v>1809890.34</v>
      </c>
      <c r="G62" s="80">
        <f t="shared" si="49"/>
        <v>1809890.34</v>
      </c>
      <c r="H62" s="80">
        <f t="shared" si="49"/>
        <v>1809890.34</v>
      </c>
      <c r="I62" s="80">
        <f t="shared" si="49"/>
        <v>1809890.34</v>
      </c>
      <c r="J62" s="80">
        <f t="shared" si="49"/>
        <v>1809890.34</v>
      </c>
      <c r="K62" s="80">
        <f t="shared" si="49"/>
        <v>1809890.34</v>
      </c>
      <c r="L62" s="80">
        <f t="shared" si="49"/>
        <v>1809890.34</v>
      </c>
      <c r="M62" s="80">
        <f t="shared" si="49"/>
        <v>1809890.34</v>
      </c>
      <c r="N62" s="44">
        <f t="shared" si="45"/>
        <v>-45940.00000000023</v>
      </c>
      <c r="O62" s="28">
        <f t="shared" si="38"/>
        <v>-0.028588959956786897</v>
      </c>
      <c r="R62" s="66"/>
      <c r="S62" s="45" t="s">
        <v>290</v>
      </c>
      <c r="T62" s="71" t="s">
        <v>297</v>
      </c>
      <c r="U62" s="79">
        <v>2130580</v>
      </c>
      <c r="V62" s="101">
        <v>2015327</v>
      </c>
      <c r="W62" s="80">
        <f aca="true" t="shared" si="50" ref="W62:AD63">W50*W56</f>
        <v>2409460.95</v>
      </c>
      <c r="X62" s="80">
        <f t="shared" si="50"/>
        <v>2409460.95</v>
      </c>
      <c r="Y62" s="80">
        <f t="shared" si="50"/>
        <v>2409460.95</v>
      </c>
      <c r="Z62" s="80">
        <f t="shared" si="50"/>
        <v>2409460.95</v>
      </c>
      <c r="AA62" s="80">
        <f t="shared" si="50"/>
        <v>2409460.95</v>
      </c>
      <c r="AB62" s="80">
        <f t="shared" si="50"/>
        <v>2409460.95</v>
      </c>
      <c r="AC62" s="80">
        <f t="shared" si="50"/>
        <v>2409460.95</v>
      </c>
      <c r="AD62" s="80">
        <f t="shared" si="50"/>
        <v>2409460.95</v>
      </c>
    </row>
    <row r="63" spans="1:30" ht="13.5">
      <c r="A63" s="66"/>
      <c r="B63" s="45" t="s">
        <v>291</v>
      </c>
      <c r="C63" s="71" t="s">
        <v>297</v>
      </c>
      <c r="D63" s="79">
        <v>2022163</v>
      </c>
      <c r="E63" s="80">
        <v>1981373</v>
      </c>
      <c r="F63" s="80">
        <f t="shared" si="49"/>
        <v>2072995.3200000003</v>
      </c>
      <c r="G63" s="80">
        <f t="shared" si="49"/>
        <v>2072995.3200000003</v>
      </c>
      <c r="H63" s="80">
        <f t="shared" si="49"/>
        <v>2072995.3200000003</v>
      </c>
      <c r="I63" s="80">
        <f t="shared" si="49"/>
        <v>2072995.3200000003</v>
      </c>
      <c r="J63" s="80">
        <f t="shared" si="49"/>
        <v>2072995.3200000003</v>
      </c>
      <c r="K63" s="80">
        <f t="shared" si="49"/>
        <v>1806356.4897932848</v>
      </c>
      <c r="L63" s="80">
        <f t="shared" si="49"/>
        <v>1806356.4897932848</v>
      </c>
      <c r="M63" s="80">
        <f t="shared" si="49"/>
        <v>1806356.4897932848</v>
      </c>
      <c r="N63" s="44">
        <f t="shared" si="45"/>
        <v>-40790</v>
      </c>
      <c r="O63" s="28">
        <f t="shared" si="38"/>
        <v>-0.020171469856782087</v>
      </c>
      <c r="R63" s="66"/>
      <c r="S63" s="45" t="s">
        <v>291</v>
      </c>
      <c r="T63" s="71" t="s">
        <v>297</v>
      </c>
      <c r="U63" s="79">
        <v>2022785</v>
      </c>
      <c r="V63" s="101">
        <v>1981373</v>
      </c>
      <c r="W63" s="80">
        <f t="shared" si="50"/>
        <v>2076732.0700000003</v>
      </c>
      <c r="X63" s="80">
        <f t="shared" si="50"/>
        <v>2076732.0700000003</v>
      </c>
      <c r="Y63" s="80">
        <f t="shared" si="50"/>
        <v>2076732.0700000003</v>
      </c>
      <c r="Z63" s="80">
        <f t="shared" si="50"/>
        <v>2076732.0700000003</v>
      </c>
      <c r="AA63" s="80">
        <f t="shared" si="50"/>
        <v>2076732.0700000003</v>
      </c>
      <c r="AB63" s="80">
        <f t="shared" si="50"/>
        <v>1809612.600672124</v>
      </c>
      <c r="AC63" s="80">
        <f t="shared" si="50"/>
        <v>1809612.600672124</v>
      </c>
      <c r="AD63" s="80">
        <f t="shared" si="50"/>
        <v>1809612.600672124</v>
      </c>
    </row>
    <row r="64" spans="1:30" ht="13.5">
      <c r="A64" s="66"/>
      <c r="B64" s="45" t="s">
        <v>621</v>
      </c>
      <c r="C64" s="71" t="s">
        <v>297</v>
      </c>
      <c r="D64" s="79"/>
      <c r="E64" s="80"/>
      <c r="F64" s="80"/>
      <c r="G64" s="80"/>
      <c r="H64" s="80"/>
      <c r="I64" s="80"/>
      <c r="J64" s="80">
        <f t="shared" si="49"/>
        <v>70766.95999999999</v>
      </c>
      <c r="K64" s="80">
        <f t="shared" si="49"/>
        <v>142414.36</v>
      </c>
      <c r="L64" s="80">
        <f t="shared" si="49"/>
        <v>142414.36</v>
      </c>
      <c r="M64" s="80">
        <f t="shared" si="49"/>
        <v>142414.36</v>
      </c>
      <c r="N64" s="44"/>
      <c r="O64" s="28"/>
      <c r="R64" s="66"/>
      <c r="S64" s="45" t="s">
        <v>621</v>
      </c>
      <c r="T64" s="71" t="s">
        <v>295</v>
      </c>
      <c r="U64" s="79"/>
      <c r="V64" s="101"/>
      <c r="W64" s="80"/>
      <c r="X64" s="80"/>
      <c r="Y64" s="80"/>
      <c r="Z64" s="80"/>
      <c r="AA64" s="80">
        <f>AA52*AA58</f>
        <v>70766.95999999999</v>
      </c>
      <c r="AB64" s="80">
        <f>AB52*AB58</f>
        <v>142414.36</v>
      </c>
      <c r="AC64" s="80">
        <f>AC52*AC58</f>
        <v>142414.36</v>
      </c>
      <c r="AD64" s="80">
        <f>AD52*AD58</f>
        <v>142414.36</v>
      </c>
    </row>
    <row r="65" spans="1:30" ht="13.5">
      <c r="A65" s="66"/>
      <c r="B65" s="45" t="s">
        <v>292</v>
      </c>
      <c r="C65" s="71" t="s">
        <v>297</v>
      </c>
      <c r="D65" s="79">
        <v>729321</v>
      </c>
      <c r="E65" s="80">
        <f>E53*E59</f>
        <v>732577</v>
      </c>
      <c r="F65" s="80">
        <f>F53*F59</f>
        <v>725871.0495119999</v>
      </c>
      <c r="G65" s="80">
        <f>G53*G59</f>
        <v>0</v>
      </c>
      <c r="H65" s="80">
        <f>H53*H59</f>
        <v>0</v>
      </c>
      <c r="I65" s="80">
        <f>I53*I59</f>
        <v>0</v>
      </c>
      <c r="J65" s="80">
        <f t="shared" si="49"/>
        <v>0</v>
      </c>
      <c r="K65" s="80">
        <f t="shared" si="49"/>
        <v>0</v>
      </c>
      <c r="L65" s="80">
        <f t="shared" si="49"/>
        <v>0</v>
      </c>
      <c r="M65" s="80">
        <f t="shared" si="49"/>
        <v>0</v>
      </c>
      <c r="N65" s="44">
        <f t="shared" si="45"/>
        <v>3256</v>
      </c>
      <c r="O65" s="28">
        <f t="shared" si="38"/>
        <v>0.004464426500813801</v>
      </c>
      <c r="R65" s="66"/>
      <c r="S65" s="45" t="s">
        <v>292</v>
      </c>
      <c r="T65" s="71" t="s">
        <v>297</v>
      </c>
      <c r="U65" s="79">
        <v>729321</v>
      </c>
      <c r="V65" s="101">
        <v>735816</v>
      </c>
      <c r="W65" s="80">
        <f aca="true" t="shared" si="51" ref="W65:AD65">W53*W59</f>
        <v>740684.7444</v>
      </c>
      <c r="X65" s="80">
        <f t="shared" si="51"/>
        <v>0</v>
      </c>
      <c r="Y65" s="80">
        <f t="shared" si="51"/>
        <v>0</v>
      </c>
      <c r="Z65" s="80">
        <f t="shared" si="51"/>
        <v>0</v>
      </c>
      <c r="AA65" s="80">
        <f t="shared" si="51"/>
        <v>0</v>
      </c>
      <c r="AB65" s="80">
        <f t="shared" si="51"/>
        <v>0</v>
      </c>
      <c r="AC65" s="80">
        <f t="shared" si="51"/>
        <v>0</v>
      </c>
      <c r="AD65" s="80">
        <f t="shared" si="51"/>
        <v>0</v>
      </c>
    </row>
    <row r="66" spans="1:30" ht="13.5">
      <c r="A66" s="66"/>
      <c r="B66" s="45" t="s">
        <v>298</v>
      </c>
      <c r="C66" s="71" t="s">
        <v>297</v>
      </c>
      <c r="D66" s="79"/>
      <c r="E66" s="80"/>
      <c r="F66" s="80">
        <v>4835</v>
      </c>
      <c r="G66" s="80">
        <v>4835</v>
      </c>
      <c r="H66" s="80">
        <v>4835</v>
      </c>
      <c r="I66" s="80">
        <v>4835</v>
      </c>
      <c r="J66" s="80">
        <v>4835</v>
      </c>
      <c r="K66" s="80">
        <v>4835</v>
      </c>
      <c r="L66" s="80">
        <v>4835</v>
      </c>
      <c r="M66" s="80">
        <v>4835</v>
      </c>
      <c r="N66" s="44">
        <f t="shared" si="45"/>
        <v>0</v>
      </c>
      <c r="O66" s="28" t="e">
        <f t="shared" si="38"/>
        <v>#DIV/0!</v>
      </c>
      <c r="R66" s="66"/>
      <c r="S66" s="45" t="s">
        <v>298</v>
      </c>
      <c r="T66" s="71" t="s">
        <v>297</v>
      </c>
      <c r="U66" s="79">
        <v>4789</v>
      </c>
      <c r="V66" s="101">
        <v>3495</v>
      </c>
      <c r="W66" s="80">
        <v>4835</v>
      </c>
      <c r="X66" s="80">
        <v>4835</v>
      </c>
      <c r="Y66" s="80">
        <v>4835</v>
      </c>
      <c r="Z66" s="80">
        <v>4835</v>
      </c>
      <c r="AA66" s="80">
        <v>4835</v>
      </c>
      <c r="AB66" s="80">
        <v>4835</v>
      </c>
      <c r="AC66" s="80">
        <v>4835</v>
      </c>
      <c r="AD66" s="80">
        <v>4835</v>
      </c>
    </row>
    <row r="67" spans="1:30" ht="13.5">
      <c r="A67" s="66"/>
      <c r="B67" s="45" t="s">
        <v>302</v>
      </c>
      <c r="C67" s="71" t="s">
        <v>297</v>
      </c>
      <c r="D67" s="79">
        <v>30439</v>
      </c>
      <c r="E67" s="80">
        <f>V67</f>
        <v>6310</v>
      </c>
      <c r="F67" s="80">
        <v>6860</v>
      </c>
      <c r="G67" s="80">
        <v>6860</v>
      </c>
      <c r="H67" s="80">
        <v>6860</v>
      </c>
      <c r="I67" s="80">
        <v>6860</v>
      </c>
      <c r="J67" s="80">
        <v>6860</v>
      </c>
      <c r="K67" s="80">
        <v>6860</v>
      </c>
      <c r="L67" s="80">
        <v>6860</v>
      </c>
      <c r="M67" s="80">
        <v>6860</v>
      </c>
      <c r="N67" s="44">
        <f t="shared" si="45"/>
        <v>-24129</v>
      </c>
      <c r="O67" s="28">
        <f t="shared" si="38"/>
        <v>-0.792700154407175</v>
      </c>
      <c r="R67" s="66"/>
      <c r="S67" s="45" t="s">
        <v>302</v>
      </c>
      <c r="T67" s="71" t="s">
        <v>297</v>
      </c>
      <c r="U67" s="79">
        <v>30450</v>
      </c>
      <c r="V67" s="101">
        <v>6310</v>
      </c>
      <c r="W67" s="80">
        <v>6860</v>
      </c>
      <c r="X67" s="80">
        <v>6860</v>
      </c>
      <c r="Y67" s="80">
        <v>6860</v>
      </c>
      <c r="Z67" s="80">
        <v>6860</v>
      </c>
      <c r="AA67" s="80">
        <v>6860</v>
      </c>
      <c r="AB67" s="80">
        <v>6860</v>
      </c>
      <c r="AC67" s="80">
        <v>6860</v>
      </c>
      <c r="AD67" s="80">
        <v>6860</v>
      </c>
    </row>
    <row r="68" spans="1:30" ht="13.5">
      <c r="A68" s="66"/>
      <c r="B68" s="15" t="s">
        <v>299</v>
      </c>
      <c r="C68" s="81" t="s">
        <v>300</v>
      </c>
      <c r="D68" s="73">
        <v>1.9</v>
      </c>
      <c r="E68" s="74">
        <v>1.87</v>
      </c>
      <c r="F68" s="74">
        <f>W68</f>
        <v>1.58</v>
      </c>
      <c r="G68" s="74">
        <f aca="true" t="shared" si="52" ref="G68:M68">X68</f>
        <v>1.6432000000000002</v>
      </c>
      <c r="H68" s="74">
        <f t="shared" si="52"/>
        <v>1.7089280000000002</v>
      </c>
      <c r="I68" s="74">
        <f t="shared" si="52"/>
        <v>1.7772851200000004</v>
      </c>
      <c r="J68" s="74">
        <f t="shared" si="52"/>
        <v>1.8483765248000004</v>
      </c>
      <c r="K68" s="74">
        <f t="shared" si="52"/>
        <v>1.9407953510400004</v>
      </c>
      <c r="L68" s="74">
        <f t="shared" si="52"/>
        <v>2.0184271650816004</v>
      </c>
      <c r="M68" s="74">
        <f t="shared" si="52"/>
        <v>2.0991642516848645</v>
      </c>
      <c r="N68" s="62">
        <f t="shared" si="45"/>
        <v>-0.029999999999999805</v>
      </c>
      <c r="O68" s="28">
        <f t="shared" si="38"/>
        <v>-0.015789473684210464</v>
      </c>
      <c r="P68" s="64">
        <f>+E60*N68</f>
        <v>-128437.01999999916</v>
      </c>
      <c r="R68" s="66"/>
      <c r="S68" s="15" t="s">
        <v>299</v>
      </c>
      <c r="T68" s="81" t="s">
        <v>300</v>
      </c>
      <c r="U68" s="73">
        <v>1.9</v>
      </c>
      <c r="V68" s="289">
        <v>1.87</v>
      </c>
      <c r="W68" s="74">
        <v>1.58</v>
      </c>
      <c r="X68" s="74">
        <f>W68*1.04</f>
        <v>1.6432000000000002</v>
      </c>
      <c r="Y68" s="74">
        <f>X68*1.04</f>
        <v>1.7089280000000002</v>
      </c>
      <c r="Z68" s="74">
        <f>Y68*1.04</f>
        <v>1.7772851200000004</v>
      </c>
      <c r="AA68" s="74">
        <f>Z68*1.04</f>
        <v>1.8483765248000004</v>
      </c>
      <c r="AB68" s="74">
        <f>AA68*1.05</f>
        <v>1.9407953510400004</v>
      </c>
      <c r="AC68" s="74">
        <f>AB68*1.04</f>
        <v>2.0184271650816004</v>
      </c>
      <c r="AD68" s="74">
        <f>AC68*1.04</f>
        <v>2.0991642516848645</v>
      </c>
    </row>
    <row r="69" spans="1:30" ht="13.5">
      <c r="A69" s="66"/>
      <c r="B69" s="15" t="s">
        <v>301</v>
      </c>
      <c r="C69" s="82" t="s">
        <v>300</v>
      </c>
      <c r="D69" s="77">
        <f aca="true" t="shared" si="53" ref="D69:M69">+D70+D74+D75+D76+D77</f>
        <v>8304339</v>
      </c>
      <c r="E69" s="78">
        <f t="shared" si="53"/>
        <v>7961452.37</v>
      </c>
      <c r="F69" s="78">
        <f t="shared" si="53"/>
        <v>7300313.70102896</v>
      </c>
      <c r="G69" s="78">
        <f t="shared" si="53"/>
        <v>6399574.940512002</v>
      </c>
      <c r="H69" s="78">
        <f t="shared" si="53"/>
        <v>6655557.938132482</v>
      </c>
      <c r="I69" s="78">
        <f t="shared" si="53"/>
        <v>6921780.255657782</v>
      </c>
      <c r="J69" s="78">
        <f t="shared" si="53"/>
        <v>7329455.453479553</v>
      </c>
      <c r="K69" s="78">
        <f t="shared" si="53"/>
        <v>7317489.764915697</v>
      </c>
      <c r="L69" s="78">
        <f t="shared" si="53"/>
        <v>7610189.355512325</v>
      </c>
      <c r="M69" s="78">
        <f t="shared" si="53"/>
        <v>7914596.929732817</v>
      </c>
      <c r="N69" s="48">
        <f t="shared" si="45"/>
        <v>-342886.6299999999</v>
      </c>
      <c r="O69" s="28">
        <f t="shared" si="38"/>
        <v>-0.04129005692084586</v>
      </c>
      <c r="P69" s="64">
        <f>SUM(P60+P68)</f>
        <v>-332882.71999999916</v>
      </c>
      <c r="R69" s="66"/>
      <c r="S69" s="15" t="s">
        <v>301</v>
      </c>
      <c r="T69" s="82" t="s">
        <v>300</v>
      </c>
      <c r="U69" s="77">
        <f aca="true" t="shared" si="54" ref="U69:AD69">+U70+U74+U75+U76+U77</f>
        <v>9358647</v>
      </c>
      <c r="V69" s="291">
        <f t="shared" si="54"/>
        <v>8851708</v>
      </c>
      <c r="W69" s="78">
        <f t="shared" si="54"/>
        <v>8322931.967751999</v>
      </c>
      <c r="X69" s="78">
        <f t="shared" si="54"/>
        <v>7440929.594464002</v>
      </c>
      <c r="Y69" s="78">
        <f t="shared" si="54"/>
        <v>7741566.778242562</v>
      </c>
      <c r="Z69" s="78">
        <f t="shared" si="54"/>
        <v>8049029.449372265</v>
      </c>
      <c r="AA69" s="78">
        <f t="shared" si="54"/>
        <v>8499594.614942618</v>
      </c>
      <c r="AB69" s="78">
        <f t="shared" si="54"/>
        <v>8542453.062280037</v>
      </c>
      <c r="AC69" s="78">
        <f t="shared" si="54"/>
        <v>8881951.184771234</v>
      </c>
      <c r="AD69" s="78">
        <f t="shared" si="54"/>
        <v>9235029.232162088</v>
      </c>
    </row>
    <row r="70" spans="1:30" ht="13.5">
      <c r="A70" s="66"/>
      <c r="B70" s="45" t="s">
        <v>288</v>
      </c>
      <c r="C70" s="83" t="s">
        <v>300</v>
      </c>
      <c r="D70" s="79">
        <f aca="true" t="shared" si="55" ref="D70:I70">+D71+D72</f>
        <v>6860794</v>
      </c>
      <c r="E70" s="80">
        <f t="shared" si="55"/>
        <v>6580045.38</v>
      </c>
      <c r="F70" s="80">
        <f t="shared" si="55"/>
        <v>6134959.342800001</v>
      </c>
      <c r="G70" s="80">
        <f t="shared" si="55"/>
        <v>6380357.716512002</v>
      </c>
      <c r="H70" s="80">
        <f t="shared" si="55"/>
        <v>6635572.025172481</v>
      </c>
      <c r="I70" s="80">
        <f t="shared" si="55"/>
        <v>6900994.906179382</v>
      </c>
      <c r="J70" s="80">
        <f>+J71+J72+J73</f>
        <v>7307838.690022017</v>
      </c>
      <c r="K70" s="80">
        <f>+K71+K72+K73</f>
        <v>7294792.163285284</v>
      </c>
      <c r="L70" s="80">
        <f>+L71+L72+L73</f>
        <v>7586583.849816695</v>
      </c>
      <c r="M70" s="80">
        <f>+M71+M72+M73</f>
        <v>7890047.203809363</v>
      </c>
      <c r="N70" s="44">
        <f t="shared" si="45"/>
        <v>-280748.6200000001</v>
      </c>
      <c r="O70" s="28">
        <f t="shared" si="38"/>
        <v>-0.04092071850575896</v>
      </c>
      <c r="R70" s="66"/>
      <c r="S70" s="45" t="s">
        <v>288</v>
      </c>
      <c r="T70" s="83" t="s">
        <v>300</v>
      </c>
      <c r="U70" s="79">
        <f aca="true" t="shared" si="56" ref="U70:Z70">+U71+U72</f>
        <v>7794494</v>
      </c>
      <c r="V70" s="101">
        <f t="shared" si="56"/>
        <v>7409176</v>
      </c>
      <c r="W70" s="80">
        <f t="shared" si="56"/>
        <v>7088184.9716</v>
      </c>
      <c r="X70" s="80">
        <f t="shared" si="56"/>
        <v>7371712.370464002</v>
      </c>
      <c r="Y70" s="80">
        <f t="shared" si="56"/>
        <v>7666580.865282562</v>
      </c>
      <c r="Z70" s="80">
        <f t="shared" si="56"/>
        <v>7973244.099893864</v>
      </c>
      <c r="AA70" s="80">
        <f>+AA71+AA72+AA73</f>
        <v>8422977.851485081</v>
      </c>
      <c r="AB70" s="80">
        <f>+AB71+AB72+AB73</f>
        <v>8464755.460649623</v>
      </c>
      <c r="AC70" s="80">
        <f>+AC71+AC72+AC73</f>
        <v>8803345.679075606</v>
      </c>
      <c r="AD70" s="80">
        <f>+AD71+AD72+AD73</f>
        <v>9155479.506238634</v>
      </c>
    </row>
    <row r="71" spans="1:30" ht="13.5">
      <c r="A71" s="66"/>
      <c r="B71" s="45" t="s">
        <v>290</v>
      </c>
      <c r="C71" s="83" t="s">
        <v>300</v>
      </c>
      <c r="D71" s="79">
        <v>3053136</v>
      </c>
      <c r="E71" s="80">
        <f aca="true" t="shared" si="57" ref="E71:M72">E62*E$68</f>
        <v>2919021.38</v>
      </c>
      <c r="F71" s="80">
        <v>2859626.7372</v>
      </c>
      <c r="G71" s="80">
        <f t="shared" si="57"/>
        <v>2974011.8066880004</v>
      </c>
      <c r="H71" s="80">
        <f t="shared" si="57"/>
        <v>3092972.2789555206</v>
      </c>
      <c r="I71" s="80">
        <f t="shared" si="57"/>
        <v>3216691.1701137414</v>
      </c>
      <c r="J71" s="80">
        <f t="shared" si="57"/>
        <v>3345358.816918291</v>
      </c>
      <c r="K71" s="80">
        <f t="shared" si="57"/>
        <v>3512626.757764206</v>
      </c>
      <c r="L71" s="80">
        <f t="shared" si="57"/>
        <v>3653131.828074774</v>
      </c>
      <c r="M71" s="80">
        <f t="shared" si="57"/>
        <v>3799257.101197765</v>
      </c>
      <c r="N71" s="44">
        <f t="shared" si="45"/>
        <v>-134114.6200000001</v>
      </c>
      <c r="O71" s="28">
        <f t="shared" si="38"/>
        <v>-0.04392684112335643</v>
      </c>
      <c r="R71" s="66"/>
      <c r="S71" s="45" t="s">
        <v>290</v>
      </c>
      <c r="T71" s="83" t="s">
        <v>300</v>
      </c>
      <c r="U71" s="79">
        <v>3986836</v>
      </c>
      <c r="V71" s="101">
        <v>3748152</v>
      </c>
      <c r="W71" s="80">
        <v>3806948.3010000004</v>
      </c>
      <c r="X71" s="80">
        <f aca="true" t="shared" si="58" ref="X71:AD72">X62*X$68</f>
        <v>3959226.233040001</v>
      </c>
      <c r="Y71" s="80">
        <f t="shared" si="58"/>
        <v>4117595.282361601</v>
      </c>
      <c r="Z71" s="80">
        <f t="shared" si="58"/>
        <v>4282299.093656065</v>
      </c>
      <c r="AA71" s="80">
        <f t="shared" si="58"/>
        <v>4453591.057402308</v>
      </c>
      <c r="AB71" s="80">
        <f t="shared" si="58"/>
        <v>4676270.610272423</v>
      </c>
      <c r="AC71" s="80">
        <f t="shared" si="58"/>
        <v>4863321.43468332</v>
      </c>
      <c r="AD71" s="80">
        <f t="shared" si="58"/>
        <v>5057854.292070653</v>
      </c>
    </row>
    <row r="72" spans="1:30" ht="13.5">
      <c r="A72" s="66"/>
      <c r="B72" s="45" t="s">
        <v>291</v>
      </c>
      <c r="C72" s="83" t="s">
        <v>300</v>
      </c>
      <c r="D72" s="79">
        <v>3807658</v>
      </c>
      <c r="E72" s="80">
        <f>V72</f>
        <v>3661024</v>
      </c>
      <c r="F72" s="80">
        <v>3275332.6056000004</v>
      </c>
      <c r="G72" s="80">
        <f t="shared" si="57"/>
        <v>3406345.909824001</v>
      </c>
      <c r="H72" s="80">
        <f t="shared" si="57"/>
        <v>3542599.746216961</v>
      </c>
      <c r="I72" s="80">
        <f t="shared" si="57"/>
        <v>3684303.7360656396</v>
      </c>
      <c r="J72" s="80">
        <f t="shared" si="57"/>
        <v>3831675.8855082653</v>
      </c>
      <c r="K72" s="80">
        <f t="shared" si="57"/>
        <v>3505768.277711741</v>
      </c>
      <c r="L72" s="80">
        <f t="shared" si="57"/>
        <v>3645999.0088202106</v>
      </c>
      <c r="M72" s="80">
        <f t="shared" si="57"/>
        <v>3791838.9691730193</v>
      </c>
      <c r="N72" s="44">
        <f t="shared" si="45"/>
        <v>-146634</v>
      </c>
      <c r="O72" s="28">
        <f t="shared" si="38"/>
        <v>-0.03851028637550957</v>
      </c>
      <c r="R72" s="66"/>
      <c r="S72" s="45" t="s">
        <v>291</v>
      </c>
      <c r="T72" s="83" t="s">
        <v>300</v>
      </c>
      <c r="U72" s="79">
        <v>3807658</v>
      </c>
      <c r="V72" s="101">
        <v>3661024</v>
      </c>
      <c r="W72" s="80">
        <v>3281236.6706</v>
      </c>
      <c r="X72" s="80">
        <f t="shared" si="58"/>
        <v>3412486.137424001</v>
      </c>
      <c r="Y72" s="80">
        <f t="shared" si="58"/>
        <v>3548985.582920961</v>
      </c>
      <c r="Z72" s="80">
        <f t="shared" si="58"/>
        <v>3690945.0062378</v>
      </c>
      <c r="AA72" s="80">
        <f t="shared" si="58"/>
        <v>3838582.8064873116</v>
      </c>
      <c r="AB72" s="80">
        <f t="shared" si="58"/>
        <v>3512087.722567863</v>
      </c>
      <c r="AC72" s="80">
        <f t="shared" si="58"/>
        <v>3652571.2314705774</v>
      </c>
      <c r="AD72" s="80">
        <f t="shared" si="58"/>
        <v>3798674.0807294007</v>
      </c>
    </row>
    <row r="73" spans="1:30" ht="13.5">
      <c r="A73" s="66"/>
      <c r="B73" s="45" t="s">
        <v>621</v>
      </c>
      <c r="C73" s="83" t="s">
        <v>300</v>
      </c>
      <c r="D73" s="79"/>
      <c r="E73" s="80"/>
      <c r="F73" s="80"/>
      <c r="G73" s="80"/>
      <c r="H73" s="80"/>
      <c r="I73" s="80"/>
      <c r="J73" s="80">
        <f>J64*J68</f>
        <v>130803.98759546063</v>
      </c>
      <c r="K73" s="80">
        <f>K64*K68</f>
        <v>276397.127809337</v>
      </c>
      <c r="L73" s="80">
        <f>L64*L68</f>
        <v>287453.01292171044</v>
      </c>
      <c r="M73" s="80">
        <f>M64*M68</f>
        <v>298951.13343857887</v>
      </c>
      <c r="N73" s="44"/>
      <c r="O73" s="28"/>
      <c r="R73" s="66"/>
      <c r="S73" s="45" t="s">
        <v>621</v>
      </c>
      <c r="T73" s="83" t="s">
        <v>300</v>
      </c>
      <c r="U73" s="79"/>
      <c r="V73" s="101"/>
      <c r="W73" s="80"/>
      <c r="X73" s="80"/>
      <c r="Y73" s="80"/>
      <c r="Z73" s="80"/>
      <c r="AA73" s="80">
        <f>AA64*AA68</f>
        <v>130803.98759546063</v>
      </c>
      <c r="AB73" s="80">
        <f>AB64*AB68</f>
        <v>276397.127809337</v>
      </c>
      <c r="AC73" s="80">
        <f>AC64*AC68</f>
        <v>287453.01292171044</v>
      </c>
      <c r="AD73" s="80">
        <f>AD64*AD68</f>
        <v>298951.13343857887</v>
      </c>
    </row>
    <row r="74" spans="1:30" ht="13.5">
      <c r="A74" s="66"/>
      <c r="B74" s="45" t="s">
        <v>292</v>
      </c>
      <c r="C74" s="83" t="s">
        <v>300</v>
      </c>
      <c r="D74" s="79">
        <v>1385710</v>
      </c>
      <c r="E74" s="80">
        <f aca="true" t="shared" si="59" ref="E74:M76">E65*E$68</f>
        <v>1369918.99</v>
      </c>
      <c r="F74" s="80">
        <v>1146876.25822896</v>
      </c>
      <c r="G74" s="80">
        <f t="shared" si="59"/>
        <v>0</v>
      </c>
      <c r="H74" s="80">
        <f t="shared" si="59"/>
        <v>0</v>
      </c>
      <c r="I74" s="80">
        <f t="shared" si="59"/>
        <v>0</v>
      </c>
      <c r="J74" s="80">
        <f t="shared" si="59"/>
        <v>0</v>
      </c>
      <c r="K74" s="80">
        <f t="shared" si="59"/>
        <v>0</v>
      </c>
      <c r="L74" s="80">
        <f t="shared" si="59"/>
        <v>0</v>
      </c>
      <c r="M74" s="80">
        <f t="shared" si="59"/>
        <v>0</v>
      </c>
      <c r="N74" s="44">
        <f t="shared" si="45"/>
        <v>-15791.01000000001</v>
      </c>
      <c r="O74" s="28">
        <f t="shared" si="38"/>
        <v>-0.01139560947095708</v>
      </c>
      <c r="R74" s="66"/>
      <c r="S74" s="45" t="s">
        <v>292</v>
      </c>
      <c r="T74" s="83" t="s">
        <v>300</v>
      </c>
      <c r="U74" s="79">
        <v>1393032</v>
      </c>
      <c r="V74" s="101">
        <v>1376713</v>
      </c>
      <c r="W74" s="80">
        <v>1170281.896152</v>
      </c>
      <c r="X74" s="80">
        <f aca="true" t="shared" si="60" ref="X74:AD74">X65*X$68</f>
        <v>0</v>
      </c>
      <c r="Y74" s="80">
        <f t="shared" si="60"/>
        <v>0</v>
      </c>
      <c r="Z74" s="80">
        <f t="shared" si="60"/>
        <v>0</v>
      </c>
      <c r="AA74" s="80">
        <f t="shared" si="60"/>
        <v>0</v>
      </c>
      <c r="AB74" s="80">
        <f t="shared" si="60"/>
        <v>0</v>
      </c>
      <c r="AC74" s="80">
        <f t="shared" si="60"/>
        <v>0</v>
      </c>
      <c r="AD74" s="80">
        <f t="shared" si="60"/>
        <v>0</v>
      </c>
    </row>
    <row r="75" spans="1:30" ht="13.5">
      <c r="A75" s="66"/>
      <c r="B75" s="45" t="s">
        <v>298</v>
      </c>
      <c r="C75" s="83" t="s">
        <v>300</v>
      </c>
      <c r="D75" s="79"/>
      <c r="E75" s="80"/>
      <c r="F75" s="80">
        <v>7639.3</v>
      </c>
      <c r="G75" s="80">
        <f t="shared" si="59"/>
        <v>7944.872000000001</v>
      </c>
      <c r="H75" s="80">
        <f t="shared" si="59"/>
        <v>8262.66688</v>
      </c>
      <c r="I75" s="80">
        <f t="shared" si="59"/>
        <v>8593.173555200003</v>
      </c>
      <c r="J75" s="80">
        <f t="shared" si="59"/>
        <v>8936.900497408002</v>
      </c>
      <c r="K75" s="80">
        <f t="shared" si="59"/>
        <v>9383.745522278403</v>
      </c>
      <c r="L75" s="80">
        <f t="shared" si="59"/>
        <v>9759.095343169538</v>
      </c>
      <c r="M75" s="80">
        <f t="shared" si="59"/>
        <v>10149.45915689632</v>
      </c>
      <c r="N75" s="44">
        <f t="shared" si="45"/>
        <v>0</v>
      </c>
      <c r="O75" s="28" t="e">
        <f t="shared" si="38"/>
        <v>#DIV/0!</v>
      </c>
      <c r="R75" s="66"/>
      <c r="S75" s="45" t="s">
        <v>298</v>
      </c>
      <c r="T75" s="83" t="s">
        <v>300</v>
      </c>
      <c r="U75" s="79">
        <v>15856</v>
      </c>
      <c r="V75" s="101">
        <v>6447</v>
      </c>
      <c r="W75" s="80">
        <v>7639.3</v>
      </c>
      <c r="X75" s="80">
        <f aca="true" t="shared" si="61" ref="X75:AD75">X66*X68</f>
        <v>7944.872000000001</v>
      </c>
      <c r="Y75" s="80">
        <f t="shared" si="61"/>
        <v>8262.66688</v>
      </c>
      <c r="Z75" s="80">
        <f t="shared" si="61"/>
        <v>8593.173555200003</v>
      </c>
      <c r="AA75" s="80">
        <f t="shared" si="61"/>
        <v>8936.900497408002</v>
      </c>
      <c r="AB75" s="80">
        <f t="shared" si="61"/>
        <v>9383.745522278403</v>
      </c>
      <c r="AC75" s="80">
        <f t="shared" si="61"/>
        <v>9759.095343169538</v>
      </c>
      <c r="AD75" s="80">
        <f t="shared" si="61"/>
        <v>10149.45915689632</v>
      </c>
    </row>
    <row r="76" spans="1:30" ht="13.5">
      <c r="A76" s="66"/>
      <c r="B76" s="45" t="s">
        <v>302</v>
      </c>
      <c r="C76" s="83" t="s">
        <v>300</v>
      </c>
      <c r="D76" s="79">
        <v>57835</v>
      </c>
      <c r="E76" s="80">
        <f>V76</f>
        <v>11488</v>
      </c>
      <c r="F76" s="80">
        <v>10838.8</v>
      </c>
      <c r="G76" s="80">
        <f t="shared" si="59"/>
        <v>11272.352</v>
      </c>
      <c r="H76" s="80">
        <f t="shared" si="59"/>
        <v>11723.24608</v>
      </c>
      <c r="I76" s="80">
        <f t="shared" si="59"/>
        <v>12192.175923200002</v>
      </c>
      <c r="J76" s="80">
        <f t="shared" si="59"/>
        <v>12679.862960128003</v>
      </c>
      <c r="K76" s="80">
        <f t="shared" si="59"/>
        <v>13313.856108134403</v>
      </c>
      <c r="L76" s="80">
        <f t="shared" si="59"/>
        <v>13846.410352459778</v>
      </c>
      <c r="M76" s="80">
        <f t="shared" si="59"/>
        <v>14400.26676655817</v>
      </c>
      <c r="N76" s="44">
        <f t="shared" si="45"/>
        <v>-46347</v>
      </c>
      <c r="O76" s="28">
        <f t="shared" si="38"/>
        <v>-0.8013659548716175</v>
      </c>
      <c r="R76" s="66"/>
      <c r="S76" s="45" t="s">
        <v>302</v>
      </c>
      <c r="T76" s="83" t="s">
        <v>300</v>
      </c>
      <c r="U76" s="79">
        <v>59181</v>
      </c>
      <c r="V76" s="101">
        <v>11488</v>
      </c>
      <c r="W76" s="80">
        <v>10838.8</v>
      </c>
      <c r="X76" s="80">
        <f aca="true" t="shared" si="62" ref="X76:AD76">X67*X$68</f>
        <v>11272.352</v>
      </c>
      <c r="Y76" s="80">
        <f t="shared" si="62"/>
        <v>11723.24608</v>
      </c>
      <c r="Z76" s="80">
        <f t="shared" si="62"/>
        <v>12192.175923200002</v>
      </c>
      <c r="AA76" s="80">
        <f t="shared" si="62"/>
        <v>12679.862960128003</v>
      </c>
      <c r="AB76" s="80">
        <f t="shared" si="62"/>
        <v>13313.856108134403</v>
      </c>
      <c r="AC76" s="80">
        <f t="shared" si="62"/>
        <v>13846.410352459778</v>
      </c>
      <c r="AD76" s="80">
        <f t="shared" si="62"/>
        <v>14400.26676655817</v>
      </c>
    </row>
    <row r="77" spans="1:30" ht="13.5">
      <c r="A77" s="66"/>
      <c r="B77" s="84" t="s">
        <v>303</v>
      </c>
      <c r="C77" s="83" t="s">
        <v>300</v>
      </c>
      <c r="D77" s="14"/>
      <c r="E77" s="72"/>
      <c r="F77" s="72"/>
      <c r="G77" s="72"/>
      <c r="H77" s="72"/>
      <c r="I77" s="72"/>
      <c r="J77" s="72"/>
      <c r="K77" s="72"/>
      <c r="L77" s="72"/>
      <c r="M77" s="72"/>
      <c r="N77" s="44">
        <f t="shared" si="45"/>
        <v>0</v>
      </c>
      <c r="O77" s="28" t="e">
        <f t="shared" si="38"/>
        <v>#DIV/0!</v>
      </c>
      <c r="R77" s="66"/>
      <c r="S77" s="84" t="s">
        <v>303</v>
      </c>
      <c r="T77" s="83" t="s">
        <v>300</v>
      </c>
      <c r="U77" s="14">
        <v>96084</v>
      </c>
      <c r="V77" s="288">
        <v>47884</v>
      </c>
      <c r="W77" s="72">
        <v>45987</v>
      </c>
      <c r="X77" s="72">
        <v>50000</v>
      </c>
      <c r="Y77" s="72">
        <v>55000</v>
      </c>
      <c r="Z77" s="72">
        <v>55000</v>
      </c>
      <c r="AA77" s="72">
        <v>55000</v>
      </c>
      <c r="AB77" s="72">
        <v>55000</v>
      </c>
      <c r="AC77" s="72">
        <v>55000</v>
      </c>
      <c r="AD77" s="72">
        <v>55000</v>
      </c>
    </row>
    <row r="78" spans="1:30" ht="13.5">
      <c r="A78" s="66"/>
      <c r="B78" s="15" t="s">
        <v>304</v>
      </c>
      <c r="C78" s="82" t="s">
        <v>300</v>
      </c>
      <c r="D78" s="69">
        <f>1040954+79109</f>
        <v>1120063</v>
      </c>
      <c r="E78" s="70">
        <v>1276100</v>
      </c>
      <c r="F78" s="70">
        <v>1151100</v>
      </c>
      <c r="G78" s="70">
        <f>F78*1.017</f>
        <v>1170668.7</v>
      </c>
      <c r="H78" s="70">
        <f aca="true" t="shared" si="63" ref="H78:M78">G78*1.018</f>
        <v>1191740.7366</v>
      </c>
      <c r="I78" s="70">
        <f t="shared" si="63"/>
        <v>1213192.0698588</v>
      </c>
      <c r="J78" s="70">
        <f t="shared" si="63"/>
        <v>1235029.5271162584</v>
      </c>
      <c r="K78" s="70">
        <f t="shared" si="63"/>
        <v>1257260.058604351</v>
      </c>
      <c r="L78" s="70">
        <f t="shared" si="63"/>
        <v>1279890.7396592293</v>
      </c>
      <c r="M78" s="70">
        <f t="shared" si="63"/>
        <v>1302928.7729730955</v>
      </c>
      <c r="N78" s="48">
        <f t="shared" si="45"/>
        <v>156037</v>
      </c>
      <c r="O78" s="28">
        <f t="shared" si="38"/>
        <v>0.13931091376110083</v>
      </c>
      <c r="R78" s="66"/>
      <c r="S78" s="15" t="s">
        <v>304</v>
      </c>
      <c r="T78" s="82" t="s">
        <v>300</v>
      </c>
      <c r="U78" s="69">
        <v>1180672</v>
      </c>
      <c r="V78" s="287">
        <v>1369600</v>
      </c>
      <c r="W78" s="70">
        <v>1279000</v>
      </c>
      <c r="X78" s="70">
        <f>W78*1.017</f>
        <v>1300742.9999999998</v>
      </c>
      <c r="Y78" s="70">
        <f aca="true" t="shared" si="64" ref="Y78:AD78">X78*1.018</f>
        <v>1324156.3739999998</v>
      </c>
      <c r="Z78" s="70">
        <f t="shared" si="64"/>
        <v>1347991.1887319998</v>
      </c>
      <c r="AA78" s="70">
        <f t="shared" si="64"/>
        <v>1372255.0301291759</v>
      </c>
      <c r="AB78" s="70">
        <f t="shared" si="64"/>
        <v>1396955.6206715012</v>
      </c>
      <c r="AC78" s="70">
        <f t="shared" si="64"/>
        <v>1422100.8218435883</v>
      </c>
      <c r="AD78" s="70">
        <f t="shared" si="64"/>
        <v>1447698.636636773</v>
      </c>
    </row>
    <row r="79" spans="1:30" ht="13.5">
      <c r="A79" s="66"/>
      <c r="B79" s="45"/>
      <c r="C79" s="15"/>
      <c r="D79" s="14"/>
      <c r="E79" s="72"/>
      <c r="F79" s="72"/>
      <c r="G79" s="72"/>
      <c r="H79" s="72"/>
      <c r="I79" s="72"/>
      <c r="J79" s="72"/>
      <c r="K79" s="72"/>
      <c r="L79" s="72"/>
      <c r="M79" s="72"/>
      <c r="N79" s="85"/>
      <c r="O79" s="22"/>
      <c r="R79" s="66"/>
      <c r="S79" s="45"/>
      <c r="T79" s="15"/>
      <c r="U79" s="14"/>
      <c r="V79" s="288"/>
      <c r="W79" s="72"/>
      <c r="X79" s="72"/>
      <c r="Y79" s="72"/>
      <c r="Z79" s="72"/>
      <c r="AA79" s="72"/>
      <c r="AB79" s="72"/>
      <c r="AC79" s="72"/>
      <c r="AD79" s="72"/>
    </row>
    <row r="80" spans="1:30" ht="14.25" thickBot="1">
      <c r="A80" s="86"/>
      <c r="B80" s="87" t="s">
        <v>305</v>
      </c>
      <c r="C80" s="88" t="s">
        <v>300</v>
      </c>
      <c r="D80" s="89">
        <f aca="true" t="shared" si="65" ref="D80:M80">+D78+D69</f>
        <v>9424402</v>
      </c>
      <c r="E80" s="90">
        <f t="shared" si="65"/>
        <v>9237552.370000001</v>
      </c>
      <c r="F80" s="90">
        <f t="shared" si="65"/>
        <v>8451413.70102896</v>
      </c>
      <c r="G80" s="90">
        <f t="shared" si="65"/>
        <v>7570243.640512003</v>
      </c>
      <c r="H80" s="90">
        <f t="shared" si="65"/>
        <v>7847298.674732482</v>
      </c>
      <c r="I80" s="90">
        <f t="shared" si="65"/>
        <v>8134972.325516582</v>
      </c>
      <c r="J80" s="90">
        <f t="shared" si="65"/>
        <v>8564484.98059581</v>
      </c>
      <c r="K80" s="90">
        <f t="shared" si="65"/>
        <v>8574749.823520048</v>
      </c>
      <c r="L80" s="90">
        <f t="shared" si="65"/>
        <v>8890080.095171554</v>
      </c>
      <c r="M80" s="90">
        <f t="shared" si="65"/>
        <v>9217525.702705912</v>
      </c>
      <c r="N80" s="91">
        <f t="shared" si="45"/>
        <v>-186849.62999999896</v>
      </c>
      <c r="O80" s="59">
        <f>+E80/D80-1</f>
        <v>-0.019826152364892602</v>
      </c>
      <c r="R80" s="86"/>
      <c r="S80" s="87" t="s">
        <v>305</v>
      </c>
      <c r="T80" s="88" t="s">
        <v>300</v>
      </c>
      <c r="U80" s="89">
        <f aca="true" t="shared" si="66" ref="U80:AD80">+U78+U69</f>
        <v>10539319</v>
      </c>
      <c r="V80" s="292">
        <f t="shared" si="66"/>
        <v>10221308</v>
      </c>
      <c r="W80" s="90">
        <f t="shared" si="66"/>
        <v>9601931.967751998</v>
      </c>
      <c r="X80" s="90">
        <f t="shared" si="66"/>
        <v>8741672.594464002</v>
      </c>
      <c r="Y80" s="90">
        <f t="shared" si="66"/>
        <v>9065723.152242562</v>
      </c>
      <c r="Z80" s="90">
        <f t="shared" si="66"/>
        <v>9397020.638104264</v>
      </c>
      <c r="AA80" s="90">
        <f t="shared" si="66"/>
        <v>9871849.645071793</v>
      </c>
      <c r="AB80" s="90">
        <f t="shared" si="66"/>
        <v>9939408.682951538</v>
      </c>
      <c r="AC80" s="90">
        <f t="shared" si="66"/>
        <v>10304052.006614823</v>
      </c>
      <c r="AD80" s="90">
        <f t="shared" si="66"/>
        <v>10682727.868798861</v>
      </c>
    </row>
    <row r="81" spans="2:14" ht="14.25" thickTop="1">
      <c r="B81" s="92"/>
      <c r="C81" s="92"/>
      <c r="D81" s="92"/>
      <c r="E81" s="92"/>
      <c r="F81" s="92"/>
      <c r="G81" s="92"/>
      <c r="H81" s="92"/>
      <c r="N81" s="92"/>
    </row>
    <row r="82" spans="2:22" ht="13.5" outlineLevel="1">
      <c r="B82" s="92"/>
      <c r="C82" s="92"/>
      <c r="D82" s="61">
        <v>9424</v>
      </c>
      <c r="E82" s="61">
        <v>9238</v>
      </c>
      <c r="F82" s="61">
        <v>9885</v>
      </c>
      <c r="G82" s="61"/>
      <c r="H82" s="61"/>
      <c r="N82" s="61"/>
      <c r="U82" s="61">
        <v>10539</v>
      </c>
      <c r="V82" s="61">
        <v>10221</v>
      </c>
    </row>
    <row r="83" spans="2:8" ht="13.5">
      <c r="B83" s="92"/>
      <c r="C83" s="92"/>
      <c r="D83" s="41"/>
      <c r="E83" s="41"/>
      <c r="F83" s="41"/>
      <c r="G83" s="41"/>
      <c r="H83" s="41"/>
    </row>
    <row r="84" spans="4:5" ht="14.25">
      <c r="D84" s="1"/>
      <c r="E84" s="1"/>
    </row>
  </sheetData>
  <sheetProtection/>
  <mergeCells count="8">
    <mergeCell ref="N45:O45"/>
    <mergeCell ref="A43:N43"/>
    <mergeCell ref="A3:N3"/>
    <mergeCell ref="A4:N4"/>
    <mergeCell ref="A5:N5"/>
    <mergeCell ref="N7:O7"/>
    <mergeCell ref="A41:N41"/>
    <mergeCell ref="A42:N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9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4.28125" style="0" customWidth="1"/>
    <col min="2" max="11" width="14.57421875" style="0" customWidth="1"/>
  </cols>
  <sheetData>
    <row r="1" ht="13.5">
      <c r="I1" s="468" t="s">
        <v>620</v>
      </c>
    </row>
    <row r="2" spans="1:5" s="18" customFormat="1" ht="13.5">
      <c r="A2" s="789" t="s">
        <v>256</v>
      </c>
      <c r="B2" s="789"/>
      <c r="C2" s="789"/>
      <c r="D2" s="789"/>
      <c r="E2" s="789"/>
    </row>
    <row r="3" spans="1:5" s="18" customFormat="1" ht="13.5">
      <c r="A3" s="789" t="s">
        <v>306</v>
      </c>
      <c r="B3" s="789"/>
      <c r="C3" s="789"/>
      <c r="D3" s="789"/>
      <c r="E3" s="789"/>
    </row>
    <row r="4" spans="1:5" s="18" customFormat="1" ht="13.5">
      <c r="A4" s="789" t="s">
        <v>316</v>
      </c>
      <c r="B4" s="789"/>
      <c r="C4" s="789"/>
      <c r="D4" s="789"/>
      <c r="E4" s="789"/>
    </row>
    <row r="5" ht="12.75">
      <c r="A5" s="589" t="s">
        <v>318</v>
      </c>
    </row>
    <row r="6" spans="1:11" s="18" customFormat="1" ht="13.5">
      <c r="A6" s="590"/>
      <c r="B6" s="575"/>
      <c r="C6" s="575" t="s">
        <v>258</v>
      </c>
      <c r="D6" s="575" t="s">
        <v>315</v>
      </c>
      <c r="E6" s="575" t="s">
        <v>315</v>
      </c>
      <c r="F6" s="575" t="s">
        <v>315</v>
      </c>
      <c r="G6" s="575" t="s">
        <v>315</v>
      </c>
      <c r="H6" s="575" t="s">
        <v>315</v>
      </c>
      <c r="I6" s="575" t="s">
        <v>315</v>
      </c>
      <c r="J6" s="575" t="s">
        <v>315</v>
      </c>
      <c r="K6" s="575" t="s">
        <v>315</v>
      </c>
    </row>
    <row r="7" spans="1:11" s="18" customFormat="1" ht="13.5">
      <c r="A7" s="591" t="s">
        <v>259</v>
      </c>
      <c r="B7" s="579" t="s">
        <v>3</v>
      </c>
      <c r="C7" s="579" t="s">
        <v>10</v>
      </c>
      <c r="D7" s="580"/>
      <c r="E7" s="580"/>
      <c r="F7" s="580"/>
      <c r="G7" s="580"/>
      <c r="H7" s="580"/>
      <c r="I7" s="580"/>
      <c r="J7" s="580"/>
      <c r="K7" s="580"/>
    </row>
    <row r="8" spans="1:11" s="18" customFormat="1" ht="13.5">
      <c r="A8" s="592"/>
      <c r="B8" s="585">
        <v>2013</v>
      </c>
      <c r="C8" s="585">
        <v>2014</v>
      </c>
      <c r="D8" s="585">
        <v>2015</v>
      </c>
      <c r="E8" s="585">
        <v>2016</v>
      </c>
      <c r="F8" s="585">
        <v>2017</v>
      </c>
      <c r="G8" s="585">
        <v>2018</v>
      </c>
      <c r="H8" s="585">
        <v>2019</v>
      </c>
      <c r="I8" s="585">
        <v>2020</v>
      </c>
      <c r="J8" s="585">
        <v>2021</v>
      </c>
      <c r="K8" s="585">
        <v>2022</v>
      </c>
    </row>
    <row r="9" spans="1:21" ht="14.25">
      <c r="A9" s="593" t="s">
        <v>307</v>
      </c>
      <c r="B9" s="594">
        <v>3979534415</v>
      </c>
      <c r="C9" s="594">
        <v>4263529414.6</v>
      </c>
      <c r="D9" s="595">
        <v>4624595008</v>
      </c>
      <c r="E9" s="595">
        <v>4623381493</v>
      </c>
      <c r="F9" s="595">
        <v>4623381493</v>
      </c>
      <c r="G9" s="595">
        <v>4623381493</v>
      </c>
      <c r="H9" s="595">
        <f>G9-323718109-75756886+22183640</f>
        <v>4246090138</v>
      </c>
      <c r="I9" s="595">
        <f>H9-165371040-16513085+22459682</f>
        <v>4086665695</v>
      </c>
      <c r="J9" s="595">
        <f>I9-144555028</f>
        <v>3942110667</v>
      </c>
      <c r="K9" s="595">
        <f>J9-138409302</f>
        <v>3803701365</v>
      </c>
      <c r="L9" s="97">
        <f aca="true" t="shared" si="0" ref="L9:U9">+B9/B10</f>
        <v>214.0226983643042</v>
      </c>
      <c r="M9" s="97">
        <f t="shared" si="0"/>
        <v>228.7887041826145</v>
      </c>
      <c r="N9" s="97">
        <f t="shared" si="0"/>
        <v>230.71519783003956</v>
      </c>
      <c r="O9" s="97">
        <f t="shared" si="0"/>
        <v>230.65011189822897</v>
      </c>
      <c r="P9" s="97">
        <f t="shared" si="0"/>
        <v>230.65011189822897</v>
      </c>
      <c r="Q9" s="97">
        <f t="shared" si="0"/>
        <v>230.65011189822897</v>
      </c>
      <c r="R9" s="97">
        <f t="shared" si="0"/>
        <v>211.82789413818907</v>
      </c>
      <c r="S9" s="97">
        <f t="shared" si="0"/>
        <v>203.8745669743078</v>
      </c>
      <c r="T9" s="97">
        <f t="shared" si="0"/>
        <v>196.6630415066101</v>
      </c>
      <c r="U9" s="97">
        <f t="shared" si="0"/>
        <v>189.758112496882</v>
      </c>
    </row>
    <row r="10" spans="1:11" ht="14.25">
      <c r="A10" s="593" t="s">
        <v>308</v>
      </c>
      <c r="B10" s="596">
        <v>18593983</v>
      </c>
      <c r="C10" s="596">
        <v>18635226.9</v>
      </c>
      <c r="D10" s="96">
        <v>20044605</v>
      </c>
      <c r="E10" s="98">
        <v>20045000</v>
      </c>
      <c r="F10" s="99">
        <v>20045000</v>
      </c>
      <c r="G10" s="99">
        <v>20045000</v>
      </c>
      <c r="H10" s="99">
        <v>20045000</v>
      </c>
      <c r="I10" s="99">
        <v>20045000</v>
      </c>
      <c r="J10" s="99">
        <v>20045000</v>
      </c>
      <c r="K10" s="99">
        <v>20045000</v>
      </c>
    </row>
    <row r="11" spans="1:11" ht="12.75">
      <c r="A11" s="93"/>
      <c r="B11" s="131"/>
      <c r="C11" s="131"/>
      <c r="D11" s="93"/>
      <c r="E11" s="93"/>
      <c r="F11" s="93"/>
      <c r="G11" s="93"/>
      <c r="H11" s="93"/>
      <c r="I11" s="93"/>
      <c r="J11" s="93"/>
      <c r="K11" s="93"/>
    </row>
    <row r="12" spans="1:11" ht="13.5">
      <c r="A12" s="93" t="s">
        <v>309</v>
      </c>
      <c r="B12" s="132">
        <v>0.0038</v>
      </c>
      <c r="C12" s="132">
        <v>0.0025</v>
      </c>
      <c r="D12" s="94">
        <v>0.0025</v>
      </c>
      <c r="E12" s="94">
        <v>0.0025</v>
      </c>
      <c r="F12" s="94">
        <v>0.0025</v>
      </c>
      <c r="G12" s="94">
        <v>0.0025</v>
      </c>
      <c r="H12" s="94">
        <v>0.0025</v>
      </c>
      <c r="I12" s="94">
        <v>0.0025</v>
      </c>
      <c r="J12" s="94">
        <v>0.0025</v>
      </c>
      <c r="K12" s="94">
        <v>0.0025</v>
      </c>
    </row>
    <row r="13" spans="1:11" ht="13.5">
      <c r="A13" s="95" t="s">
        <v>310</v>
      </c>
      <c r="B13" s="132">
        <v>0.8203</v>
      </c>
      <c r="C13" s="132">
        <v>0.7902</v>
      </c>
      <c r="D13" s="94">
        <v>0.7902</v>
      </c>
      <c r="E13" s="94">
        <v>0.7902</v>
      </c>
      <c r="F13" s="94">
        <v>0.7902</v>
      </c>
      <c r="G13" s="94">
        <v>0.7902</v>
      </c>
      <c r="H13" s="94">
        <v>0.7902</v>
      </c>
      <c r="I13" s="94">
        <v>0.7902</v>
      </c>
      <c r="J13" s="94">
        <v>0.7902</v>
      </c>
      <c r="K13" s="94">
        <v>0.7902</v>
      </c>
    </row>
    <row r="14" spans="1:11" ht="12.75">
      <c r="A14" s="93"/>
      <c r="B14" s="131"/>
      <c r="C14" s="131"/>
      <c r="D14" s="93"/>
      <c r="E14" s="93"/>
      <c r="F14" s="93"/>
      <c r="G14" s="93"/>
      <c r="H14" s="93"/>
      <c r="I14" s="93"/>
      <c r="J14" s="93"/>
      <c r="K14" s="93"/>
    </row>
    <row r="15" spans="1:11" ht="13.5">
      <c r="A15" s="93" t="s">
        <v>311</v>
      </c>
      <c r="B15" s="597">
        <v>15122235</v>
      </c>
      <c r="C15" s="597">
        <f aca="true" t="shared" si="1" ref="C15:K15">C9*C12</f>
        <v>10658823.5365</v>
      </c>
      <c r="D15" s="598">
        <f t="shared" si="1"/>
        <v>11561487.52</v>
      </c>
      <c r="E15" s="598">
        <f t="shared" si="1"/>
        <v>11558453.7325</v>
      </c>
      <c r="F15" s="598">
        <f t="shared" si="1"/>
        <v>11558453.7325</v>
      </c>
      <c r="G15" s="598">
        <f t="shared" si="1"/>
        <v>11558453.7325</v>
      </c>
      <c r="H15" s="598">
        <f t="shared" si="1"/>
        <v>10615225.345</v>
      </c>
      <c r="I15" s="598">
        <f t="shared" si="1"/>
        <v>10216664.2375</v>
      </c>
      <c r="J15" s="598">
        <f t="shared" si="1"/>
        <v>9855276.6675</v>
      </c>
      <c r="K15" s="598">
        <f t="shared" si="1"/>
        <v>9509253.4125</v>
      </c>
    </row>
    <row r="16" spans="1:11" ht="13.5">
      <c r="A16" s="93" t="s">
        <v>312</v>
      </c>
      <c r="B16" s="597">
        <v>15252644</v>
      </c>
      <c r="C16" s="597">
        <f aca="true" t="shared" si="2" ref="C16:K16">C13*C10</f>
        <v>14725556.296379998</v>
      </c>
      <c r="D16" s="598">
        <f t="shared" si="2"/>
        <v>15839246.871</v>
      </c>
      <c r="E16" s="598">
        <f t="shared" si="2"/>
        <v>15839559</v>
      </c>
      <c r="F16" s="598">
        <f t="shared" si="2"/>
        <v>15839559</v>
      </c>
      <c r="G16" s="598">
        <f t="shared" si="2"/>
        <v>15839559</v>
      </c>
      <c r="H16" s="598">
        <f t="shared" si="2"/>
        <v>15839559</v>
      </c>
      <c r="I16" s="598">
        <f t="shared" si="2"/>
        <v>15839559</v>
      </c>
      <c r="J16" s="598">
        <f t="shared" si="2"/>
        <v>15839559</v>
      </c>
      <c r="K16" s="598">
        <f t="shared" si="2"/>
        <v>15839559</v>
      </c>
    </row>
    <row r="17" spans="1:11" ht="13.5">
      <c r="A17" s="599" t="s">
        <v>313</v>
      </c>
      <c r="B17" s="597">
        <f aca="true" t="shared" si="3" ref="B17:K17">+B16+B15</f>
        <v>30374879</v>
      </c>
      <c r="C17" s="597">
        <f t="shared" si="3"/>
        <v>25384379.832879998</v>
      </c>
      <c r="D17" s="600">
        <f t="shared" si="3"/>
        <v>27400734.391</v>
      </c>
      <c r="E17" s="600">
        <f t="shared" si="3"/>
        <v>27398012.7325</v>
      </c>
      <c r="F17" s="600">
        <f t="shared" si="3"/>
        <v>27398012.7325</v>
      </c>
      <c r="G17" s="600">
        <f t="shared" si="3"/>
        <v>27398012.7325</v>
      </c>
      <c r="H17" s="600">
        <f t="shared" si="3"/>
        <v>26454784.345</v>
      </c>
      <c r="I17" s="600">
        <f t="shared" si="3"/>
        <v>26056223.2375</v>
      </c>
      <c r="J17" s="600">
        <f t="shared" si="3"/>
        <v>25694835.6675</v>
      </c>
      <c r="K17" s="600">
        <f t="shared" si="3"/>
        <v>25348812.4125</v>
      </c>
    </row>
    <row r="18" spans="1:11" ht="13.5">
      <c r="A18" s="93" t="s">
        <v>314</v>
      </c>
      <c r="B18" s="597">
        <v>32717</v>
      </c>
      <c r="C18" s="597"/>
      <c r="D18" s="601"/>
      <c r="E18" s="601"/>
      <c r="F18" s="601"/>
      <c r="G18" s="601"/>
      <c r="H18" s="601"/>
      <c r="I18" s="601"/>
      <c r="J18" s="601"/>
      <c r="K18" s="601"/>
    </row>
    <row r="19" spans="1:11" ht="13.5">
      <c r="A19" s="93" t="s">
        <v>334</v>
      </c>
      <c r="B19" s="597">
        <v>-279017</v>
      </c>
      <c r="C19" s="597">
        <v>-220032.7</v>
      </c>
      <c r="D19" s="601"/>
      <c r="E19" s="601"/>
      <c r="F19" s="601"/>
      <c r="G19" s="601"/>
      <c r="H19" s="601"/>
      <c r="I19" s="601"/>
      <c r="J19" s="601"/>
      <c r="K19" s="601"/>
    </row>
    <row r="20" spans="1:11" ht="14.25" thickBot="1">
      <c r="A20" s="602" t="s">
        <v>313</v>
      </c>
      <c r="B20" s="603">
        <f aca="true" t="shared" si="4" ref="B20:K20">B17+B18+B19</f>
        <v>30128579</v>
      </c>
      <c r="C20" s="603">
        <f t="shared" si="4"/>
        <v>25164347.13288</v>
      </c>
      <c r="D20" s="603">
        <f t="shared" si="4"/>
        <v>27400734.391</v>
      </c>
      <c r="E20" s="603">
        <f t="shared" si="4"/>
        <v>27398012.7325</v>
      </c>
      <c r="F20" s="603">
        <f t="shared" si="4"/>
        <v>27398012.7325</v>
      </c>
      <c r="G20" s="603">
        <f t="shared" si="4"/>
        <v>27398012.7325</v>
      </c>
      <c r="H20" s="603">
        <f t="shared" si="4"/>
        <v>26454784.345</v>
      </c>
      <c r="I20" s="603">
        <f t="shared" si="4"/>
        <v>26056223.2375</v>
      </c>
      <c r="J20" s="603">
        <f t="shared" si="4"/>
        <v>25694835.6675</v>
      </c>
      <c r="K20" s="603">
        <f t="shared" si="4"/>
        <v>25348812.4125</v>
      </c>
    </row>
    <row r="21" ht="13.5" thickTop="1">
      <c r="B21" s="2"/>
    </row>
    <row r="22" ht="12.75">
      <c r="A22" s="589" t="s">
        <v>4</v>
      </c>
    </row>
    <row r="23" spans="1:11" ht="13.5">
      <c r="A23" s="590"/>
      <c r="B23" s="575"/>
      <c r="C23" s="575" t="s">
        <v>258</v>
      </c>
      <c r="D23" s="575" t="s">
        <v>315</v>
      </c>
      <c r="E23" s="575" t="s">
        <v>315</v>
      </c>
      <c r="F23" s="575" t="s">
        <v>315</v>
      </c>
      <c r="G23" s="575" t="s">
        <v>315</v>
      </c>
      <c r="H23" s="575" t="s">
        <v>315</v>
      </c>
      <c r="I23" s="575" t="s">
        <v>315</v>
      </c>
      <c r="J23" s="575" t="s">
        <v>315</v>
      </c>
      <c r="K23" s="575" t="s">
        <v>315</v>
      </c>
    </row>
    <row r="24" spans="1:11" ht="13.5">
      <c r="A24" s="591" t="s">
        <v>259</v>
      </c>
      <c r="B24" s="579" t="s">
        <v>3</v>
      </c>
      <c r="C24" s="579" t="s">
        <v>10</v>
      </c>
      <c r="D24" s="580"/>
      <c r="E24" s="580"/>
      <c r="F24" s="580"/>
      <c r="G24" s="580"/>
      <c r="H24" s="580"/>
      <c r="I24" s="580"/>
      <c r="J24" s="580"/>
      <c r="K24" s="580"/>
    </row>
    <row r="25" spans="1:11" ht="13.5">
      <c r="A25" s="592"/>
      <c r="B25" s="585">
        <v>2013</v>
      </c>
      <c r="C25" s="585">
        <v>2014</v>
      </c>
      <c r="D25" s="585">
        <v>2015</v>
      </c>
      <c r="E25" s="585">
        <v>2016</v>
      </c>
      <c r="F25" s="585">
        <v>2017</v>
      </c>
      <c r="G25" s="585">
        <v>2018</v>
      </c>
      <c r="H25" s="585">
        <v>2019</v>
      </c>
      <c r="I25" s="585">
        <v>2020</v>
      </c>
      <c r="J25" s="585">
        <v>2021</v>
      </c>
      <c r="K25" s="585">
        <v>2022</v>
      </c>
    </row>
    <row r="26" spans="1:21" ht="14.25">
      <c r="A26" s="593" t="s">
        <v>307</v>
      </c>
      <c r="B26" s="594">
        <v>4799837983.1</v>
      </c>
      <c r="C26" s="594">
        <v>5074310879.2</v>
      </c>
      <c r="D26" s="595">
        <v>5325771397</v>
      </c>
      <c r="E26" s="595">
        <f>D26+175200000</f>
        <v>5500971397</v>
      </c>
      <c r="F26" s="595">
        <f>E26</f>
        <v>5500971397</v>
      </c>
      <c r="G26" s="595">
        <f>+F26</f>
        <v>5500971397</v>
      </c>
      <c r="H26" s="595">
        <f>G26-323718109-75756886+22183640</f>
        <v>5123680042</v>
      </c>
      <c r="I26" s="595">
        <f>H26-165371040-16513085+22459682</f>
        <v>4964255599</v>
      </c>
      <c r="J26" s="595">
        <f>I26-144555026</f>
        <v>4819700573</v>
      </c>
      <c r="K26" s="595">
        <f>J26-138409302</f>
        <v>4681291271</v>
      </c>
      <c r="L26" s="97">
        <f aca="true" t="shared" si="5" ref="L26:U26">+B26/B27</f>
        <v>226.1995938119316</v>
      </c>
      <c r="M26" s="97">
        <f t="shared" si="5"/>
        <v>239.57349537291952</v>
      </c>
      <c r="N26" s="97">
        <f t="shared" si="5"/>
        <v>240.5256834964343</v>
      </c>
      <c r="O26" s="97">
        <f t="shared" si="5"/>
        <v>242.44338886583634</v>
      </c>
      <c r="P26" s="97">
        <f t="shared" si="5"/>
        <v>242.44338886583634</v>
      </c>
      <c r="Q26" s="97">
        <f t="shared" si="5"/>
        <v>242.44338886583634</v>
      </c>
      <c r="R26" s="97">
        <f t="shared" si="5"/>
        <v>225.81509031735303</v>
      </c>
      <c r="S26" s="97">
        <f t="shared" si="5"/>
        <v>218.78880360551025</v>
      </c>
      <c r="T26" s="97">
        <f t="shared" si="5"/>
        <v>212.41785421280082</v>
      </c>
      <c r="U26" s="97">
        <f t="shared" si="5"/>
        <v>206.3177642821869</v>
      </c>
    </row>
    <row r="27" spans="1:11" ht="14.25">
      <c r="A27" s="593" t="s">
        <v>308</v>
      </c>
      <c r="B27" s="596">
        <v>21219481</v>
      </c>
      <c r="C27" s="596">
        <v>21180602.1</v>
      </c>
      <c r="D27" s="604">
        <v>22142215</v>
      </c>
      <c r="E27" s="596">
        <f>D27+547500</f>
        <v>22689715</v>
      </c>
      <c r="F27" s="596">
        <f>E27</f>
        <v>22689715</v>
      </c>
      <c r="G27" s="604">
        <f>F27</f>
        <v>22689715</v>
      </c>
      <c r="H27" s="604">
        <f>G27</f>
        <v>22689715</v>
      </c>
      <c r="I27" s="604">
        <f>H27</f>
        <v>22689715</v>
      </c>
      <c r="J27" s="604">
        <f>I27</f>
        <v>22689715</v>
      </c>
      <c r="K27" s="604">
        <f>J27</f>
        <v>22689715</v>
      </c>
    </row>
    <row r="28" spans="1:11" ht="12.75">
      <c r="A28" s="93"/>
      <c r="B28" s="131"/>
      <c r="C28" s="131"/>
      <c r="D28" s="93"/>
      <c r="E28" s="93"/>
      <c r="F28" s="93"/>
      <c r="G28" s="93"/>
      <c r="H28" s="93"/>
      <c r="I28" s="93"/>
      <c r="J28" s="93"/>
      <c r="K28" s="93"/>
    </row>
    <row r="29" spans="1:11" ht="13.5">
      <c r="A29" s="93" t="s">
        <v>309</v>
      </c>
      <c r="B29" s="132">
        <v>0.0038</v>
      </c>
      <c r="C29" s="132">
        <v>0.0025</v>
      </c>
      <c r="D29" s="94">
        <v>0.0025</v>
      </c>
      <c r="E29" s="94">
        <v>0.0025</v>
      </c>
      <c r="F29" s="94">
        <v>0.0025</v>
      </c>
      <c r="G29" s="94">
        <v>0.0025</v>
      </c>
      <c r="H29" s="94">
        <v>0.0025</v>
      </c>
      <c r="I29" s="94">
        <v>0.0025</v>
      </c>
      <c r="J29" s="94">
        <v>0.0025</v>
      </c>
      <c r="K29" s="94">
        <v>0.0025</v>
      </c>
    </row>
    <row r="30" spans="1:11" ht="13.5">
      <c r="A30" s="95" t="s">
        <v>310</v>
      </c>
      <c r="B30" s="132">
        <v>0.8203</v>
      </c>
      <c r="C30" s="132">
        <v>0.7902</v>
      </c>
      <c r="D30" s="94">
        <v>0.7902</v>
      </c>
      <c r="E30" s="94">
        <v>0.7902</v>
      </c>
      <c r="F30" s="94">
        <v>0.7902</v>
      </c>
      <c r="G30" s="94">
        <v>0.7902</v>
      </c>
      <c r="H30" s="94">
        <v>0.7902</v>
      </c>
      <c r="I30" s="94">
        <v>0.7902</v>
      </c>
      <c r="J30" s="94">
        <v>0.7902</v>
      </c>
      <c r="K30" s="94">
        <v>0.7902</v>
      </c>
    </row>
    <row r="31" spans="1:11" ht="12.75">
      <c r="A31" s="93"/>
      <c r="B31" s="131"/>
      <c r="C31" s="131"/>
      <c r="D31" s="93"/>
      <c r="E31" s="93"/>
      <c r="F31" s="93"/>
      <c r="G31" s="93"/>
      <c r="H31" s="93"/>
      <c r="I31" s="93"/>
      <c r="J31" s="93"/>
      <c r="K31" s="93"/>
    </row>
    <row r="32" spans="1:11" ht="13.5">
      <c r="A32" s="93" t="s">
        <v>311</v>
      </c>
      <c r="B32" s="597">
        <f aca="true" t="shared" si="6" ref="B32:K32">B26*B29</f>
        <v>18239384.335780002</v>
      </c>
      <c r="C32" s="597">
        <f t="shared" si="6"/>
        <v>12685777.197999999</v>
      </c>
      <c r="D32" s="598">
        <f t="shared" si="6"/>
        <v>13314428.4925</v>
      </c>
      <c r="E32" s="598">
        <f t="shared" si="6"/>
        <v>13752428.4925</v>
      </c>
      <c r="F32" s="598">
        <f t="shared" si="6"/>
        <v>13752428.4925</v>
      </c>
      <c r="G32" s="598">
        <f t="shared" si="6"/>
        <v>13752428.4925</v>
      </c>
      <c r="H32" s="598">
        <f t="shared" si="6"/>
        <v>12809200.105</v>
      </c>
      <c r="I32" s="598">
        <f t="shared" si="6"/>
        <v>12410638.9975</v>
      </c>
      <c r="J32" s="598">
        <f t="shared" si="6"/>
        <v>12049251.432500001</v>
      </c>
      <c r="K32" s="598">
        <f t="shared" si="6"/>
        <v>11703228.1775</v>
      </c>
    </row>
    <row r="33" spans="1:11" ht="13.5">
      <c r="A33" s="93" t="s">
        <v>312</v>
      </c>
      <c r="B33" s="597">
        <f aca="true" t="shared" si="7" ref="B33:K33">B30*B27</f>
        <v>17406340.2643</v>
      </c>
      <c r="C33" s="597">
        <f t="shared" si="7"/>
        <v>16736911.779420001</v>
      </c>
      <c r="D33" s="598">
        <f t="shared" si="7"/>
        <v>17496778.293</v>
      </c>
      <c r="E33" s="598">
        <f t="shared" si="7"/>
        <v>17929412.793</v>
      </c>
      <c r="F33" s="598">
        <f t="shared" si="7"/>
        <v>17929412.793</v>
      </c>
      <c r="G33" s="598">
        <f t="shared" si="7"/>
        <v>17929412.793</v>
      </c>
      <c r="H33" s="598">
        <f t="shared" si="7"/>
        <v>17929412.793</v>
      </c>
      <c r="I33" s="598">
        <f t="shared" si="7"/>
        <v>17929412.793</v>
      </c>
      <c r="J33" s="598">
        <f t="shared" si="7"/>
        <v>17929412.793</v>
      </c>
      <c r="K33" s="598">
        <f t="shared" si="7"/>
        <v>17929412.793</v>
      </c>
    </row>
    <row r="34" spans="1:11" ht="13.5">
      <c r="A34" s="599" t="s">
        <v>313</v>
      </c>
      <c r="B34" s="597">
        <f aca="true" t="shared" si="8" ref="B34:K34">+B33+B32</f>
        <v>35645724.60008</v>
      </c>
      <c r="C34" s="597">
        <f t="shared" si="8"/>
        <v>29422688.977420002</v>
      </c>
      <c r="D34" s="600">
        <f t="shared" si="8"/>
        <v>30811206.7855</v>
      </c>
      <c r="E34" s="600">
        <f t="shared" si="8"/>
        <v>31681841.2855</v>
      </c>
      <c r="F34" s="600">
        <f t="shared" si="8"/>
        <v>31681841.2855</v>
      </c>
      <c r="G34" s="600">
        <f t="shared" si="8"/>
        <v>31681841.2855</v>
      </c>
      <c r="H34" s="600">
        <f t="shared" si="8"/>
        <v>30738612.898000002</v>
      </c>
      <c r="I34" s="600">
        <f t="shared" si="8"/>
        <v>30340051.7905</v>
      </c>
      <c r="J34" s="600">
        <f t="shared" si="8"/>
        <v>29978664.225500003</v>
      </c>
      <c r="K34" s="600">
        <f t="shared" si="8"/>
        <v>29632640.9705</v>
      </c>
    </row>
    <row r="35" spans="1:11" ht="13.5">
      <c r="A35" s="93" t="s">
        <v>314</v>
      </c>
      <c r="B35" s="597">
        <v>40516</v>
      </c>
      <c r="C35" s="597">
        <v>20397</v>
      </c>
      <c r="D35" s="601"/>
      <c r="E35" s="601"/>
      <c r="F35" s="601"/>
      <c r="G35" s="601"/>
      <c r="H35" s="601"/>
      <c r="I35" s="601"/>
      <c r="J35" s="601"/>
      <c r="K35" s="601"/>
    </row>
    <row r="36" spans="1:11" ht="13.5">
      <c r="A36" s="93" t="s">
        <v>334</v>
      </c>
      <c r="B36" s="597">
        <v>-366927</v>
      </c>
      <c r="C36" s="597">
        <v>-262569</v>
      </c>
      <c r="D36" s="601"/>
      <c r="E36" s="601"/>
      <c r="F36" s="601"/>
      <c r="G36" s="601"/>
      <c r="H36" s="601"/>
      <c r="I36" s="601"/>
      <c r="J36" s="601"/>
      <c r="K36" s="601"/>
    </row>
    <row r="37" spans="1:11" ht="14.25" thickBot="1">
      <c r="A37" s="602" t="s">
        <v>313</v>
      </c>
      <c r="B37" s="603">
        <f aca="true" t="shared" si="9" ref="B37:K37">B34+B35+B36</f>
        <v>35319313.60008</v>
      </c>
      <c r="C37" s="603">
        <f t="shared" si="9"/>
        <v>29180516.977420002</v>
      </c>
      <c r="D37" s="603">
        <f t="shared" si="9"/>
        <v>30811206.7855</v>
      </c>
      <c r="E37" s="603">
        <f t="shared" si="9"/>
        <v>31681841.2855</v>
      </c>
      <c r="F37" s="603">
        <f t="shared" si="9"/>
        <v>31681841.2855</v>
      </c>
      <c r="G37" s="603">
        <f t="shared" si="9"/>
        <v>31681841.2855</v>
      </c>
      <c r="H37" s="603">
        <f t="shared" si="9"/>
        <v>30738612.898000002</v>
      </c>
      <c r="I37" s="603">
        <f t="shared" si="9"/>
        <v>30340051.7905</v>
      </c>
      <c r="J37" s="603">
        <f t="shared" si="9"/>
        <v>29978664.225500003</v>
      </c>
      <c r="K37" s="603">
        <f t="shared" si="9"/>
        <v>29632640.9705</v>
      </c>
    </row>
    <row r="38" ht="13.5" thickTop="1"/>
  </sheetData>
  <sheetProtection/>
  <mergeCells count="3">
    <mergeCell ref="A3:E3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1">
      <selection activeCell="H68" sqref="H68"/>
    </sheetView>
  </sheetViews>
  <sheetFormatPr defaultColWidth="9.140625" defaultRowHeight="12.75"/>
  <cols>
    <col min="1" max="1" width="6.140625" style="202" customWidth="1"/>
    <col min="2" max="2" width="34.7109375" style="202" customWidth="1"/>
    <col min="3" max="3" width="12.7109375" style="202" customWidth="1"/>
    <col min="4" max="11" width="11.8515625" style="202" customWidth="1"/>
    <col min="12" max="16384" width="9.140625" style="202" customWidth="1"/>
  </cols>
  <sheetData>
    <row r="1" ht="14.25">
      <c r="I1" s="468" t="s">
        <v>620</v>
      </c>
    </row>
    <row r="2" spans="2:5" ht="14.25">
      <c r="B2" s="790" t="s">
        <v>397</v>
      </c>
      <c r="C2" s="790"/>
      <c r="D2" s="790"/>
      <c r="E2" s="790"/>
    </row>
    <row r="3" spans="2:5" ht="14.25">
      <c r="B3" s="790" t="s">
        <v>398</v>
      </c>
      <c r="C3" s="790"/>
      <c r="D3" s="790"/>
      <c r="E3" s="790"/>
    </row>
    <row r="4" spans="2:5" ht="14.25">
      <c r="B4" s="790" t="s">
        <v>507</v>
      </c>
      <c r="C4" s="790"/>
      <c r="D4" s="790"/>
      <c r="E4" s="790"/>
    </row>
    <row r="7" spans="1:11" ht="14.25">
      <c r="A7" s="791" t="s">
        <v>57</v>
      </c>
      <c r="B7" s="791" t="s">
        <v>37</v>
      </c>
      <c r="C7" s="791" t="s">
        <v>59</v>
      </c>
      <c r="D7" s="605" t="s">
        <v>111</v>
      </c>
      <c r="E7" s="606" t="s">
        <v>2</v>
      </c>
      <c r="F7" s="606" t="s">
        <v>2</v>
      </c>
      <c r="G7" s="606" t="s">
        <v>2</v>
      </c>
      <c r="H7" s="606" t="s">
        <v>2</v>
      </c>
      <c r="I7" s="606" t="s">
        <v>2</v>
      </c>
      <c r="J7" s="606" t="s">
        <v>2</v>
      </c>
      <c r="K7" s="606" t="s">
        <v>2</v>
      </c>
    </row>
    <row r="8" spans="1:11" ht="14.25">
      <c r="A8" s="792"/>
      <c r="B8" s="792"/>
      <c r="C8" s="792"/>
      <c r="D8" s="607" t="s">
        <v>96</v>
      </c>
      <c r="E8" s="608" t="s">
        <v>97</v>
      </c>
      <c r="F8" s="608" t="s">
        <v>112</v>
      </c>
      <c r="G8" s="608" t="s">
        <v>337</v>
      </c>
      <c r="H8" s="608" t="s">
        <v>338</v>
      </c>
      <c r="I8" s="608" t="s">
        <v>339</v>
      </c>
      <c r="J8" s="608" t="s">
        <v>340</v>
      </c>
      <c r="K8" s="608" t="s">
        <v>341</v>
      </c>
    </row>
    <row r="9" ht="14.25">
      <c r="D9" s="204"/>
    </row>
    <row r="10" spans="1:11" ht="14.25">
      <c r="A10" s="609" t="s">
        <v>401</v>
      </c>
      <c r="B10" s="610" t="s">
        <v>402</v>
      </c>
      <c r="C10" s="611"/>
      <c r="D10" s="612"/>
      <c r="E10" s="613"/>
      <c r="F10" s="614"/>
      <c r="G10" s="614"/>
      <c r="H10" s="614"/>
      <c r="I10" s="614"/>
      <c r="J10" s="614"/>
      <c r="K10" s="614"/>
    </row>
    <row r="11" spans="1:11" ht="14.25">
      <c r="A11" s="205"/>
      <c r="B11" s="206" t="s">
        <v>403</v>
      </c>
      <c r="C11" s="203" t="s">
        <v>116</v>
      </c>
      <c r="D11" s="207">
        <f>D15+D18+D21+D25</f>
        <v>14530</v>
      </c>
      <c r="E11" s="212">
        <f aca="true" t="shared" si="0" ref="E11:K11">E15+E18+E21+E25</f>
        <v>12682</v>
      </c>
      <c r="F11" s="212">
        <f t="shared" si="0"/>
        <v>13312</v>
      </c>
      <c r="G11" s="212">
        <f t="shared" si="0"/>
        <v>13144</v>
      </c>
      <c r="H11" s="212">
        <f t="shared" si="0"/>
        <v>12960</v>
      </c>
      <c r="I11" s="212">
        <f t="shared" si="0"/>
        <v>8360</v>
      </c>
      <c r="J11" s="212">
        <f t="shared" si="0"/>
        <v>6048</v>
      </c>
      <c r="K11" s="212">
        <f t="shared" si="0"/>
        <v>4560</v>
      </c>
    </row>
    <row r="12" spans="1:11" ht="14.25">
      <c r="A12" s="205"/>
      <c r="B12" s="206" t="s">
        <v>399</v>
      </c>
      <c r="C12" s="203" t="s">
        <v>116</v>
      </c>
      <c r="D12" s="207">
        <f>D15+D18+D21</f>
        <v>13002</v>
      </c>
      <c r="E12" s="212">
        <f aca="true" t="shared" si="1" ref="E12:K12">E15+E18+E21</f>
        <v>12682</v>
      </c>
      <c r="F12" s="212">
        <f t="shared" si="1"/>
        <v>12000</v>
      </c>
      <c r="G12" s="212">
        <f t="shared" si="1"/>
        <v>11806</v>
      </c>
      <c r="H12" s="212">
        <f t="shared" si="1"/>
        <v>12960</v>
      </c>
      <c r="I12" s="212">
        <f t="shared" si="1"/>
        <v>6612</v>
      </c>
      <c r="J12" s="212">
        <f t="shared" si="1"/>
        <v>4683</v>
      </c>
      <c r="K12" s="212">
        <f t="shared" si="1"/>
        <v>3216</v>
      </c>
    </row>
    <row r="13" spans="1:11" ht="14.25">
      <c r="A13" s="205">
        <v>1.1</v>
      </c>
      <c r="B13" s="202" t="s">
        <v>422</v>
      </c>
      <c r="C13" s="205"/>
      <c r="D13" s="210"/>
      <c r="E13" s="229"/>
      <c r="F13" s="229"/>
      <c r="G13" s="229"/>
      <c r="H13" s="229"/>
      <c r="I13" s="229"/>
      <c r="J13" s="229"/>
      <c r="K13" s="229"/>
    </row>
    <row r="14" spans="1:11" ht="14.25">
      <c r="A14" s="205"/>
      <c r="B14" s="208" t="s">
        <v>404</v>
      </c>
      <c r="C14" s="209" t="s">
        <v>405</v>
      </c>
      <c r="D14" s="210">
        <v>48</v>
      </c>
      <c r="E14" s="229">
        <v>41</v>
      </c>
      <c r="F14" s="302"/>
      <c r="G14" s="302">
        <v>40</v>
      </c>
      <c r="H14" s="302"/>
      <c r="I14" s="302"/>
      <c r="J14" s="302">
        <v>15</v>
      </c>
      <c r="K14" s="202">
        <v>10</v>
      </c>
    </row>
    <row r="15" spans="1:11" ht="14.25">
      <c r="A15" s="205"/>
      <c r="B15" s="208" t="s">
        <v>406</v>
      </c>
      <c r="C15" s="209" t="s">
        <v>116</v>
      </c>
      <c r="D15" s="210">
        <v>9778</v>
      </c>
      <c r="E15" s="211">
        <f>INT(41*194.727+0.5)</f>
        <v>7984</v>
      </c>
      <c r="F15" s="211"/>
      <c r="G15" s="211">
        <f>INT(40*194.727*1.02*1.02+0.5)+18</f>
        <v>8122</v>
      </c>
      <c r="H15" s="211"/>
      <c r="I15" s="211"/>
      <c r="J15" s="211">
        <f>INT(15*194.727+0.5)</f>
        <v>2921</v>
      </c>
      <c r="K15" s="211">
        <f>INT(10*194.727+0.5)</f>
        <v>1947</v>
      </c>
    </row>
    <row r="16" spans="1:5" ht="14.25">
      <c r="A16" s="205">
        <v>1.2</v>
      </c>
      <c r="B16" s="202" t="s">
        <v>413</v>
      </c>
      <c r="C16" s="205"/>
      <c r="D16" s="210"/>
      <c r="E16" s="211"/>
    </row>
    <row r="17" spans="2:11" ht="14.25">
      <c r="B17" s="208" t="s">
        <v>404</v>
      </c>
      <c r="C17" s="209" t="s">
        <v>405</v>
      </c>
      <c r="D17" s="210">
        <v>33</v>
      </c>
      <c r="E17" s="211">
        <v>40</v>
      </c>
      <c r="G17" s="202">
        <v>30</v>
      </c>
      <c r="J17" s="202">
        <v>15</v>
      </c>
      <c r="K17" s="202">
        <v>10</v>
      </c>
    </row>
    <row r="18" spans="2:11" ht="14.25">
      <c r="B18" s="208" t="s">
        <v>407</v>
      </c>
      <c r="C18" s="209" t="s">
        <v>116</v>
      </c>
      <c r="D18" s="210">
        <v>3224</v>
      </c>
      <c r="E18" s="211">
        <f>INT(40*117.447+0.5)</f>
        <v>4698</v>
      </c>
      <c r="G18" s="211">
        <f>INT(30*117.447*1.02*1.02+0.5)+18</f>
        <v>3684</v>
      </c>
      <c r="I18" s="211"/>
      <c r="J18" s="211">
        <f>INT(15*117.447+0.5)</f>
        <v>1762</v>
      </c>
      <c r="K18" s="211">
        <f>INT(10*117.447*1.08+0.5)+1</f>
        <v>1269</v>
      </c>
    </row>
    <row r="19" spans="1:11" ht="14.25">
      <c r="A19" s="205">
        <v>1.3</v>
      </c>
      <c r="B19" s="202" t="s">
        <v>505</v>
      </c>
      <c r="C19" s="205"/>
      <c r="D19" s="210"/>
      <c r="E19" s="229"/>
      <c r="F19" s="229"/>
      <c r="G19" s="229"/>
      <c r="H19" s="229"/>
      <c r="I19" s="229"/>
      <c r="J19" s="229"/>
      <c r="K19" s="229"/>
    </row>
    <row r="20" spans="1:9" ht="14.25">
      <c r="A20" s="205"/>
      <c r="B20" s="208" t="s">
        <v>404</v>
      </c>
      <c r="C20" s="209" t="s">
        <v>405</v>
      </c>
      <c r="D20" s="210"/>
      <c r="E20" s="211"/>
      <c r="F20" s="211">
        <v>12</v>
      </c>
      <c r="G20" s="211"/>
      <c r="H20" s="211">
        <v>12</v>
      </c>
      <c r="I20" s="202">
        <v>6</v>
      </c>
    </row>
    <row r="21" spans="1:11" ht="14.25">
      <c r="A21" s="205"/>
      <c r="B21" s="208" t="s">
        <v>406</v>
      </c>
      <c r="C21" s="209" t="s">
        <v>116</v>
      </c>
      <c r="D21" s="210"/>
      <c r="E21" s="211"/>
      <c r="F21" s="211">
        <v>12000</v>
      </c>
      <c r="G21" s="211"/>
      <c r="H21" s="211">
        <v>12960</v>
      </c>
      <c r="I21" s="211">
        <v>6612</v>
      </c>
      <c r="J21" s="211"/>
      <c r="K21" s="211"/>
    </row>
    <row r="22" spans="2:11" ht="14.25">
      <c r="B22" s="227" t="s">
        <v>400</v>
      </c>
      <c r="C22" s="203" t="s">
        <v>116</v>
      </c>
      <c r="D22" s="228">
        <f>D25</f>
        <v>1528</v>
      </c>
      <c r="E22" s="230">
        <f aca="true" t="shared" si="2" ref="E22:K22">E25</f>
        <v>0</v>
      </c>
      <c r="F22" s="230">
        <f t="shared" si="2"/>
        <v>1312</v>
      </c>
      <c r="G22" s="230">
        <f t="shared" si="2"/>
        <v>1338</v>
      </c>
      <c r="H22" s="230">
        <f t="shared" si="2"/>
        <v>0</v>
      </c>
      <c r="I22" s="230">
        <f t="shared" si="2"/>
        <v>1748</v>
      </c>
      <c r="J22" s="230">
        <f t="shared" si="2"/>
        <v>1365</v>
      </c>
      <c r="K22" s="230">
        <f t="shared" si="2"/>
        <v>1344.0000000000002</v>
      </c>
    </row>
    <row r="23" spans="1:5" ht="14.25">
      <c r="A23" s="205">
        <v>1.3</v>
      </c>
      <c r="B23" s="202" t="s">
        <v>420</v>
      </c>
      <c r="C23" s="205"/>
      <c r="D23" s="210"/>
      <c r="E23" s="211"/>
    </row>
    <row r="24" spans="2:11" ht="14.25">
      <c r="B24" s="208" t="s">
        <v>404</v>
      </c>
      <c r="C24" s="209" t="s">
        <v>405</v>
      </c>
      <c r="D24" s="210">
        <v>50</v>
      </c>
      <c r="E24" s="211"/>
      <c r="F24" s="211">
        <v>20</v>
      </c>
      <c r="G24" s="211">
        <v>20</v>
      </c>
      <c r="H24" s="211"/>
      <c r="I24" s="211">
        <v>40</v>
      </c>
      <c r="J24" s="211">
        <v>30</v>
      </c>
      <c r="K24" s="211">
        <v>30</v>
      </c>
    </row>
    <row r="25" spans="2:11" ht="14.25">
      <c r="B25" s="208" t="s">
        <v>407</v>
      </c>
      <c r="C25" s="209" t="s">
        <v>116</v>
      </c>
      <c r="D25" s="210">
        <v>1528</v>
      </c>
      <c r="E25" s="211"/>
      <c r="F25" s="211">
        <v>1312</v>
      </c>
      <c r="G25" s="211">
        <v>1338</v>
      </c>
      <c r="H25" s="211"/>
      <c r="I25" s="211">
        <f>40*1.08*40+20</f>
        <v>1748</v>
      </c>
      <c r="J25" s="211">
        <f>6048-4683</f>
        <v>1365</v>
      </c>
      <c r="K25" s="211">
        <f>40*1.12*30</f>
        <v>1344.0000000000002</v>
      </c>
    </row>
    <row r="26" spans="2:5" ht="14.25">
      <c r="B26" s="208"/>
      <c r="C26" s="209"/>
      <c r="D26" s="210"/>
      <c r="E26" s="211"/>
    </row>
    <row r="27" spans="1:11" ht="14.25">
      <c r="A27" s="205">
        <v>2</v>
      </c>
      <c r="B27" s="206" t="s">
        <v>408</v>
      </c>
      <c r="C27" s="203" t="s">
        <v>116</v>
      </c>
      <c r="D27" s="207">
        <f>D30+D33</f>
        <v>5520</v>
      </c>
      <c r="E27" s="212">
        <f aca="true" t="shared" si="3" ref="E27:K27">E30+E33</f>
        <v>5520</v>
      </c>
      <c r="F27" s="212">
        <f t="shared" si="3"/>
        <v>5520</v>
      </c>
      <c r="G27" s="212">
        <f t="shared" si="3"/>
        <v>5520</v>
      </c>
      <c r="H27" s="212">
        <f t="shared" si="3"/>
        <v>5631</v>
      </c>
      <c r="I27" s="212">
        <f t="shared" si="3"/>
        <v>5744</v>
      </c>
      <c r="J27" s="212">
        <f t="shared" si="3"/>
        <v>5859</v>
      </c>
      <c r="K27" s="212">
        <f t="shared" si="3"/>
        <v>5976</v>
      </c>
    </row>
    <row r="28" spans="1:5" ht="14.25">
      <c r="A28" s="205">
        <v>2.1</v>
      </c>
      <c r="B28" s="202" t="s">
        <v>409</v>
      </c>
      <c r="C28" s="205"/>
      <c r="D28" s="210"/>
      <c r="E28" s="211"/>
    </row>
    <row r="29" spans="2:11" ht="14.25">
      <c r="B29" s="208" t="s">
        <v>404</v>
      </c>
      <c r="C29" s="209" t="s">
        <v>405</v>
      </c>
      <c r="D29" s="210">
        <v>257</v>
      </c>
      <c r="E29" s="229">
        <v>257</v>
      </c>
      <c r="F29" s="229">
        <v>257</v>
      </c>
      <c r="G29" s="229">
        <v>257</v>
      </c>
      <c r="H29" s="202">
        <f>+INT(G29/400*354+0.5)</f>
        <v>227</v>
      </c>
      <c r="I29" s="202">
        <v>227</v>
      </c>
      <c r="J29" s="202">
        <v>227</v>
      </c>
      <c r="K29" s="202">
        <v>227</v>
      </c>
    </row>
    <row r="30" spans="2:11" ht="14.25">
      <c r="B30" s="208" t="s">
        <v>406</v>
      </c>
      <c r="C30" s="209" t="s">
        <v>116</v>
      </c>
      <c r="D30" s="210">
        <v>2639</v>
      </c>
      <c r="E30" s="229">
        <v>2639</v>
      </c>
      <c r="F30" s="229">
        <v>2639</v>
      </c>
      <c r="G30" s="229">
        <v>2639</v>
      </c>
      <c r="H30" s="229">
        <f>INT(G30*1.02+0.5)</f>
        <v>2692</v>
      </c>
      <c r="I30" s="229">
        <f>INT(H30*1.02+0.5)</f>
        <v>2746</v>
      </c>
      <c r="J30" s="229">
        <f>INT(I30*1.02+0.5)</f>
        <v>2801</v>
      </c>
      <c r="K30" s="229">
        <f>INT(J30*1.02+0.5)</f>
        <v>2857</v>
      </c>
    </row>
    <row r="31" spans="1:7" ht="14.25">
      <c r="A31" s="202">
        <v>2.2</v>
      </c>
      <c r="B31" s="202" t="s">
        <v>410</v>
      </c>
      <c r="C31" s="205"/>
      <c r="D31" s="210"/>
      <c r="E31" s="229"/>
      <c r="F31" s="229"/>
      <c r="G31" s="229"/>
    </row>
    <row r="32" spans="2:11" ht="14.25">
      <c r="B32" s="208" t="s">
        <v>404</v>
      </c>
      <c r="C32" s="209" t="s">
        <v>405</v>
      </c>
      <c r="D32" s="210">
        <v>1050</v>
      </c>
      <c r="E32" s="229">
        <v>1050</v>
      </c>
      <c r="F32" s="229">
        <v>1050</v>
      </c>
      <c r="G32" s="229">
        <v>1050</v>
      </c>
      <c r="H32" s="202">
        <f>INT(1050/400*354+0.5)</f>
        <v>929</v>
      </c>
      <c r="I32" s="202">
        <f>+H32</f>
        <v>929</v>
      </c>
      <c r="J32" s="202">
        <f>+I32</f>
        <v>929</v>
      </c>
      <c r="K32" s="202">
        <f>+J32</f>
        <v>929</v>
      </c>
    </row>
    <row r="33" spans="2:11" ht="14.25">
      <c r="B33" s="208" t="s">
        <v>406</v>
      </c>
      <c r="C33" s="209" t="s">
        <v>116</v>
      </c>
      <c r="D33" s="210">
        <v>2881</v>
      </c>
      <c r="E33" s="229">
        <v>2881</v>
      </c>
      <c r="F33" s="229">
        <v>2881</v>
      </c>
      <c r="G33" s="229">
        <v>2881</v>
      </c>
      <c r="H33" s="229">
        <f>INT(G33*1.02+0.5)</f>
        <v>2939</v>
      </c>
      <c r="I33" s="229">
        <f>INT(H33*1.02+0.5)</f>
        <v>2998</v>
      </c>
      <c r="J33" s="229">
        <f>INT(I33*1.02+0.5)</f>
        <v>3058</v>
      </c>
      <c r="K33" s="229">
        <f>INT(J33*1.02+0.5)</f>
        <v>3119</v>
      </c>
    </row>
    <row r="34" spans="4:5" ht="14.25">
      <c r="D34" s="210"/>
      <c r="E34" s="211"/>
    </row>
    <row r="35" spans="1:11" ht="14.25">
      <c r="A35" s="609" t="s">
        <v>411</v>
      </c>
      <c r="B35" s="610" t="s">
        <v>412</v>
      </c>
      <c r="C35" s="611"/>
      <c r="D35" s="612"/>
      <c r="E35" s="613"/>
      <c r="F35" s="614"/>
      <c r="G35" s="614"/>
      <c r="H35" s="614"/>
      <c r="I35" s="614"/>
      <c r="J35" s="614"/>
      <c r="K35" s="614"/>
    </row>
    <row r="36" spans="1:11" ht="14.25">
      <c r="A36" s="205">
        <v>1</v>
      </c>
      <c r="B36" s="206" t="s">
        <v>403</v>
      </c>
      <c r="C36" s="203" t="s">
        <v>116</v>
      </c>
      <c r="D36" s="207">
        <f>D40+D43+D47+D50</f>
        <v>6408</v>
      </c>
      <c r="E36" s="212">
        <f aca="true" t="shared" si="4" ref="E36:K36">E40+E43+E47+E50</f>
        <v>5403</v>
      </c>
      <c r="F36" s="212">
        <f t="shared" si="4"/>
        <v>5389</v>
      </c>
      <c r="G36" s="212">
        <f t="shared" si="4"/>
        <v>5675</v>
      </c>
      <c r="H36" s="212">
        <f t="shared" si="4"/>
        <v>4631</v>
      </c>
      <c r="I36" s="212">
        <f t="shared" si="4"/>
        <v>4561</v>
      </c>
      <c r="J36" s="212">
        <f t="shared" si="4"/>
        <v>5139</v>
      </c>
      <c r="K36" s="212">
        <f t="shared" si="4"/>
        <v>5095</v>
      </c>
    </row>
    <row r="37" spans="1:11" ht="14.25">
      <c r="A37" s="205"/>
      <c r="B37" s="206" t="s">
        <v>399</v>
      </c>
      <c r="C37" s="203" t="s">
        <v>116</v>
      </c>
      <c r="D37" s="207">
        <f>D40+D43</f>
        <v>2720</v>
      </c>
      <c r="E37" s="212">
        <f aca="true" t="shared" si="5" ref="E37:K37">E40+E43</f>
        <v>2120</v>
      </c>
      <c r="F37" s="212">
        <f t="shared" si="5"/>
        <v>2120</v>
      </c>
      <c r="G37" s="212">
        <f t="shared" si="5"/>
        <v>2420</v>
      </c>
      <c r="H37" s="212">
        <f t="shared" si="5"/>
        <v>1200</v>
      </c>
      <c r="I37" s="212">
        <f t="shared" si="5"/>
        <v>1200</v>
      </c>
      <c r="J37" s="212">
        <f t="shared" si="5"/>
        <v>1500</v>
      </c>
      <c r="K37" s="212">
        <f t="shared" si="5"/>
        <v>1500</v>
      </c>
    </row>
    <row r="38" spans="1:10" ht="14.25">
      <c r="A38" s="205">
        <v>1.1</v>
      </c>
      <c r="B38" s="202" t="s">
        <v>506</v>
      </c>
      <c r="D38" s="210"/>
      <c r="E38" s="229"/>
      <c r="F38" s="302"/>
      <c r="G38" s="302"/>
      <c r="H38" s="302"/>
      <c r="I38" s="302"/>
      <c r="J38" s="302"/>
    </row>
    <row r="39" spans="1:7" ht="14.25">
      <c r="A39" s="205"/>
      <c r="B39" s="208" t="s">
        <v>414</v>
      </c>
      <c r="C39" s="209" t="s">
        <v>405</v>
      </c>
      <c r="D39" s="210">
        <v>1</v>
      </c>
      <c r="E39" s="229">
        <v>1</v>
      </c>
      <c r="F39" s="229">
        <v>1</v>
      </c>
      <c r="G39" s="229">
        <v>1</v>
      </c>
    </row>
    <row r="40" spans="1:7" ht="14.25">
      <c r="A40" s="205"/>
      <c r="B40" s="208" t="s">
        <v>407</v>
      </c>
      <c r="C40" s="209" t="s">
        <v>116</v>
      </c>
      <c r="D40" s="210">
        <v>1220</v>
      </c>
      <c r="E40" s="229">
        <v>1220</v>
      </c>
      <c r="F40" s="229">
        <v>1220</v>
      </c>
      <c r="G40" s="229">
        <v>1220</v>
      </c>
    </row>
    <row r="41" spans="1:5" ht="14.25">
      <c r="A41" s="205">
        <v>1.2</v>
      </c>
      <c r="B41" s="202" t="s">
        <v>415</v>
      </c>
      <c r="D41" s="210"/>
      <c r="E41" s="211"/>
    </row>
    <row r="42" spans="1:11" ht="14.25">
      <c r="A42" s="205"/>
      <c r="B42" s="208" t="s">
        <v>414</v>
      </c>
      <c r="C42" s="209" t="s">
        <v>405</v>
      </c>
      <c r="D42" s="210">
        <v>5</v>
      </c>
      <c r="E42" s="229">
        <v>3</v>
      </c>
      <c r="F42" s="229">
        <v>3</v>
      </c>
      <c r="G42" s="229">
        <v>4</v>
      </c>
      <c r="H42" s="229">
        <v>4</v>
      </c>
      <c r="I42" s="229">
        <v>4</v>
      </c>
      <c r="J42" s="229">
        <v>5</v>
      </c>
      <c r="K42" s="229">
        <v>5</v>
      </c>
    </row>
    <row r="43" spans="1:11" ht="14.25">
      <c r="A43" s="205"/>
      <c r="B43" s="208" t="s">
        <v>407</v>
      </c>
      <c r="C43" s="209" t="s">
        <v>116</v>
      </c>
      <c r="D43" s="210">
        <v>1500</v>
      </c>
      <c r="E43" s="229">
        <v>900</v>
      </c>
      <c r="F43" s="229">
        <v>900</v>
      </c>
      <c r="G43" s="229">
        <v>1200</v>
      </c>
      <c r="H43" s="229">
        <v>1200</v>
      </c>
      <c r="I43" s="229">
        <v>1200</v>
      </c>
      <c r="J43" s="229">
        <v>1500</v>
      </c>
      <c r="K43" s="229">
        <v>1500</v>
      </c>
    </row>
    <row r="44" spans="1:11" ht="14.25">
      <c r="A44" s="205"/>
      <c r="B44" s="206" t="s">
        <v>400</v>
      </c>
      <c r="C44" s="203" t="s">
        <v>116</v>
      </c>
      <c r="D44" s="228">
        <f>D47+D50</f>
        <v>3688</v>
      </c>
      <c r="E44" s="230">
        <f aca="true" t="shared" si="6" ref="E44:K44">E47+E50</f>
        <v>3283</v>
      </c>
      <c r="F44" s="230">
        <f t="shared" si="6"/>
        <v>3269</v>
      </c>
      <c r="G44" s="230">
        <f t="shared" si="6"/>
        <v>3255</v>
      </c>
      <c r="H44" s="230">
        <f t="shared" si="6"/>
        <v>3431</v>
      </c>
      <c r="I44" s="230">
        <f t="shared" si="6"/>
        <v>3361</v>
      </c>
      <c r="J44" s="230">
        <f t="shared" si="6"/>
        <v>3639</v>
      </c>
      <c r="K44" s="230">
        <f t="shared" si="6"/>
        <v>3595</v>
      </c>
    </row>
    <row r="45" spans="1:11" ht="14.25">
      <c r="A45" s="205">
        <v>1.1</v>
      </c>
      <c r="B45" s="202" t="s">
        <v>421</v>
      </c>
      <c r="C45" s="209"/>
      <c r="D45" s="210"/>
      <c r="E45" s="211"/>
      <c r="F45" s="641"/>
      <c r="G45" s="641"/>
      <c r="H45" s="641"/>
      <c r="I45" s="641"/>
      <c r="J45" s="641"/>
      <c r="K45" s="641"/>
    </row>
    <row r="46" spans="1:11" ht="14.25">
      <c r="A46" s="205"/>
      <c r="B46" s="208" t="s">
        <v>414</v>
      </c>
      <c r="C46" s="209" t="s">
        <v>405</v>
      </c>
      <c r="D46" s="210">
        <v>19</v>
      </c>
      <c r="E46" s="211">
        <v>10.127421666666669</v>
      </c>
      <c r="F46" s="641">
        <v>10.127421666666669</v>
      </c>
      <c r="G46" s="641">
        <v>10.127421666666669</v>
      </c>
      <c r="H46" s="641">
        <v>13.981588333333335</v>
      </c>
      <c r="I46" s="641">
        <v>16.29408833333333</v>
      </c>
      <c r="J46" s="641">
        <v>18.992005</v>
      </c>
      <c r="K46" s="641">
        <v>21.689921666666667</v>
      </c>
    </row>
    <row r="47" spans="1:11" ht="14.25">
      <c r="A47" s="205"/>
      <c r="B47" s="208" t="s">
        <v>407</v>
      </c>
      <c r="C47" s="209" t="s">
        <v>116</v>
      </c>
      <c r="D47" s="210">
        <v>1766</v>
      </c>
      <c r="E47" s="211">
        <v>597</v>
      </c>
      <c r="F47" s="211">
        <v>597</v>
      </c>
      <c r="G47" s="211">
        <v>597</v>
      </c>
      <c r="H47" s="211">
        <f>INT(601/12*14+0.5)</f>
        <v>701</v>
      </c>
      <c r="I47" s="211">
        <f>INT(605/14*16+0.5)</f>
        <v>691</v>
      </c>
      <c r="J47" s="211">
        <f>INT(605/14*19+0.5)</f>
        <v>821</v>
      </c>
      <c r="K47" s="211">
        <f>INT(610/16*22+0.5)</f>
        <v>839</v>
      </c>
    </row>
    <row r="48" spans="1:11" ht="14.25">
      <c r="A48" s="205">
        <v>1.2</v>
      </c>
      <c r="B48" s="202" t="s">
        <v>415</v>
      </c>
      <c r="D48" s="210"/>
      <c r="E48" s="211"/>
      <c r="F48" s="641"/>
      <c r="G48" s="641"/>
      <c r="H48" s="641"/>
      <c r="I48" s="641"/>
      <c r="J48" s="641"/>
      <c r="K48" s="641"/>
    </row>
    <row r="49" spans="1:11" ht="14.25">
      <c r="A49" s="205"/>
      <c r="B49" s="208" t="s">
        <v>414</v>
      </c>
      <c r="C49" s="209" t="s">
        <v>405</v>
      </c>
      <c r="D49" s="210">
        <v>50</v>
      </c>
      <c r="E49" s="211">
        <v>49.53850904054233</v>
      </c>
      <c r="F49" s="641">
        <v>49.419759040542324</v>
      </c>
      <c r="G49" s="641">
        <v>49.301009040542326</v>
      </c>
      <c r="H49" s="641">
        <v>52.052436707209</v>
      </c>
      <c r="I49" s="641">
        <v>54.272436707208996</v>
      </c>
      <c r="J49" s="641">
        <v>56.86243804054233</v>
      </c>
      <c r="K49" s="641">
        <v>59.452438040542326</v>
      </c>
    </row>
    <row r="50" spans="1:11" ht="14.25">
      <c r="A50" s="205"/>
      <c r="B50" s="208" t="s">
        <v>407</v>
      </c>
      <c r="C50" s="209" t="s">
        <v>116</v>
      </c>
      <c r="D50" s="210">
        <v>1922</v>
      </c>
      <c r="E50" s="211">
        <v>2686</v>
      </c>
      <c r="F50" s="211">
        <v>2672</v>
      </c>
      <c r="G50" s="211">
        <v>2658</v>
      </c>
      <c r="H50" s="211">
        <f>INT(2520/48*52+0.5)</f>
        <v>2730</v>
      </c>
      <c r="I50" s="211">
        <f>INT(2472/50*54+0.5)</f>
        <v>2670</v>
      </c>
      <c r="J50" s="211">
        <f>INT(2472/50*57+0.5)</f>
        <v>2818</v>
      </c>
      <c r="K50" s="211">
        <f>INT(2476/53*59+0.5)</f>
        <v>2756</v>
      </c>
    </row>
    <row r="51" spans="1:5" ht="14.25">
      <c r="A51" s="205"/>
      <c r="D51" s="210"/>
      <c r="E51" s="211"/>
    </row>
    <row r="52" spans="1:11" ht="14.25">
      <c r="A52" s="205">
        <v>2</v>
      </c>
      <c r="B52" s="206" t="s">
        <v>408</v>
      </c>
      <c r="C52" s="203" t="s">
        <v>116</v>
      </c>
      <c r="D52" s="207">
        <f>D55+D58+D60</f>
        <v>6937</v>
      </c>
      <c r="E52" s="212">
        <f aca="true" t="shared" si="7" ref="E52:K52">E55+E58+E60</f>
        <v>9022</v>
      </c>
      <c r="F52" s="212">
        <f t="shared" si="7"/>
        <v>8983</v>
      </c>
      <c r="G52" s="212">
        <f t="shared" si="7"/>
        <v>8945</v>
      </c>
      <c r="H52" s="212">
        <f t="shared" si="7"/>
        <v>10889</v>
      </c>
      <c r="I52" s="212">
        <f t="shared" si="7"/>
        <v>11968</v>
      </c>
      <c r="J52" s="212">
        <f t="shared" si="7"/>
        <v>13414</v>
      </c>
      <c r="K52" s="212">
        <f t="shared" si="7"/>
        <v>14739</v>
      </c>
    </row>
    <row r="53" spans="1:11" ht="14.25">
      <c r="A53" s="205">
        <v>2.1</v>
      </c>
      <c r="B53" s="202" t="s">
        <v>416</v>
      </c>
      <c r="D53" s="210"/>
      <c r="E53" s="211"/>
      <c r="F53" s="641"/>
      <c r="G53" s="641"/>
      <c r="H53" s="641"/>
      <c r="I53" s="641"/>
      <c r="J53" s="641"/>
      <c r="K53" s="641"/>
    </row>
    <row r="54" spans="1:11" ht="14.25">
      <c r="A54" s="205"/>
      <c r="B54" s="208" t="s">
        <v>414</v>
      </c>
      <c r="C54" s="209" t="s">
        <v>405</v>
      </c>
      <c r="D54" s="210">
        <v>36</v>
      </c>
      <c r="E54" s="211">
        <v>65.28816862037037</v>
      </c>
      <c r="F54" s="641">
        <v>66.01316862037038</v>
      </c>
      <c r="G54" s="641">
        <v>66.73816862037037</v>
      </c>
      <c r="H54" s="641">
        <v>76.50001295370372</v>
      </c>
      <c r="I54" s="641">
        <v>82.4200129537037</v>
      </c>
      <c r="J54" s="641">
        <v>89.3266809537037</v>
      </c>
      <c r="K54" s="641">
        <v>96.23334762037037</v>
      </c>
    </row>
    <row r="55" spans="1:11" ht="14.25">
      <c r="A55" s="205"/>
      <c r="B55" s="208" t="s">
        <v>407</v>
      </c>
      <c r="C55" s="209" t="s">
        <v>116</v>
      </c>
      <c r="D55" s="210">
        <v>531</v>
      </c>
      <c r="E55" s="211">
        <v>1357</v>
      </c>
      <c r="F55" s="211">
        <v>1347</v>
      </c>
      <c r="G55" s="211">
        <v>1338</v>
      </c>
      <c r="H55" s="211">
        <f>INT(1311/72*77+0.5)</f>
        <v>1402</v>
      </c>
      <c r="I55" s="211">
        <f>INT(1290/77*82+0.5)</f>
        <v>1374</v>
      </c>
      <c r="J55" s="211">
        <f>INT(1290/77*89+0.5)</f>
        <v>1491</v>
      </c>
      <c r="K55" s="211">
        <f>INT(1269/81*96+0.5)</f>
        <v>1504</v>
      </c>
    </row>
    <row r="56" spans="1:11" ht="14.25">
      <c r="A56" s="205">
        <v>2.2</v>
      </c>
      <c r="B56" s="202" t="s">
        <v>417</v>
      </c>
      <c r="D56" s="210"/>
      <c r="E56" s="211"/>
      <c r="F56" s="641"/>
      <c r="G56" s="641"/>
      <c r="H56" s="641"/>
      <c r="I56" s="641"/>
      <c r="J56" s="641"/>
      <c r="K56" s="641"/>
    </row>
    <row r="57" spans="2:11" ht="14.25">
      <c r="B57" s="208" t="s">
        <v>414</v>
      </c>
      <c r="C57" s="209" t="s">
        <v>405</v>
      </c>
      <c r="D57" s="210">
        <v>1527</v>
      </c>
      <c r="E57" s="211">
        <v>1607.6085017682535</v>
      </c>
      <c r="F57" s="211">
        <v>1598.9085017682537</v>
      </c>
      <c r="G57" s="211">
        <v>1590.2085017682534</v>
      </c>
      <c r="H57" s="211">
        <v>1574.5401431015869</v>
      </c>
      <c r="I57" s="211">
        <v>1577.5001431015867</v>
      </c>
      <c r="J57" s="211">
        <v>1580.9535404349203</v>
      </c>
      <c r="K57" s="211">
        <v>1584.4068737682533</v>
      </c>
    </row>
    <row r="58" spans="1:11" ht="14.25">
      <c r="A58" s="302"/>
      <c r="B58" s="208" t="s">
        <v>407</v>
      </c>
      <c r="C58" s="209" t="s">
        <v>116</v>
      </c>
      <c r="D58" s="210">
        <v>6406</v>
      </c>
      <c r="E58" s="229">
        <v>7665</v>
      </c>
      <c r="F58" s="229">
        <v>7636</v>
      </c>
      <c r="G58" s="229">
        <v>7607</v>
      </c>
      <c r="H58" s="229">
        <f>INT(7595/1572*1575+0.5)</f>
        <v>7609</v>
      </c>
      <c r="I58" s="229">
        <f>INT(7576/1575*1578+0.5)</f>
        <v>7590</v>
      </c>
      <c r="J58" s="229">
        <f>INT(7576/1575*1581+0.5)</f>
        <v>7605</v>
      </c>
      <c r="K58" s="229">
        <f>INT(7568/1577*1584+0.5)</f>
        <v>7602</v>
      </c>
    </row>
    <row r="59" spans="1:11" ht="14.25">
      <c r="A59" s="205">
        <v>2.3</v>
      </c>
      <c r="B59" s="202" t="s">
        <v>633</v>
      </c>
      <c r="D59" s="210"/>
      <c r="E59" s="211"/>
      <c r="F59" s="641"/>
      <c r="G59" s="641"/>
      <c r="H59" s="641"/>
      <c r="I59" s="641"/>
      <c r="J59" s="641"/>
      <c r="K59" s="641"/>
    </row>
    <row r="60" spans="1:11" ht="14.25">
      <c r="A60" s="213"/>
      <c r="B60" s="214" t="s">
        <v>407</v>
      </c>
      <c r="C60" s="215" t="s">
        <v>116</v>
      </c>
      <c r="D60" s="216"/>
      <c r="E60" s="217"/>
      <c r="F60" s="217"/>
      <c r="G60" s="217"/>
      <c r="H60" s="217">
        <v>1878</v>
      </c>
      <c r="I60" s="217">
        <v>3004</v>
      </c>
      <c r="J60" s="217">
        <v>4318</v>
      </c>
      <c r="K60" s="217">
        <v>5633</v>
      </c>
    </row>
    <row r="61" spans="4:5" ht="14.25">
      <c r="D61" s="210"/>
      <c r="E61" s="211"/>
    </row>
    <row r="62" spans="2:11" ht="14.25">
      <c r="B62" s="206" t="s">
        <v>418</v>
      </c>
      <c r="C62" s="218" t="s">
        <v>116</v>
      </c>
      <c r="D62" s="207">
        <f aca="true" t="shared" si="8" ref="D62:K62">D36+D11</f>
        <v>20938</v>
      </c>
      <c r="E62" s="212">
        <f t="shared" si="8"/>
        <v>18085</v>
      </c>
      <c r="F62" s="212">
        <f t="shared" si="8"/>
        <v>18701</v>
      </c>
      <c r="G62" s="212">
        <f t="shared" si="8"/>
        <v>18819</v>
      </c>
      <c r="H62" s="212">
        <f t="shared" si="8"/>
        <v>17591</v>
      </c>
      <c r="I62" s="212">
        <f t="shared" si="8"/>
        <v>12921</v>
      </c>
      <c r="J62" s="212">
        <f t="shared" si="8"/>
        <v>11187</v>
      </c>
      <c r="K62" s="212">
        <f t="shared" si="8"/>
        <v>9655</v>
      </c>
    </row>
    <row r="63" spans="1:11" ht="14.25">
      <c r="A63" s="213"/>
      <c r="B63" s="219" t="s">
        <v>419</v>
      </c>
      <c r="C63" s="220" t="s">
        <v>116</v>
      </c>
      <c r="D63" s="221">
        <f aca="true" t="shared" si="9" ref="D63:K63">D52+D27</f>
        <v>12457</v>
      </c>
      <c r="E63" s="222">
        <f t="shared" si="9"/>
        <v>14542</v>
      </c>
      <c r="F63" s="222">
        <f t="shared" si="9"/>
        <v>14503</v>
      </c>
      <c r="G63" s="222">
        <f t="shared" si="9"/>
        <v>14465</v>
      </c>
      <c r="H63" s="222">
        <f t="shared" si="9"/>
        <v>16520</v>
      </c>
      <c r="I63" s="222">
        <f t="shared" si="9"/>
        <v>17712</v>
      </c>
      <c r="J63" s="222">
        <f t="shared" si="9"/>
        <v>19273</v>
      </c>
      <c r="K63" s="222">
        <f t="shared" si="9"/>
        <v>20715</v>
      </c>
    </row>
    <row r="64" spans="4:11" ht="14.25">
      <c r="D64" s="210"/>
      <c r="E64" s="229"/>
      <c r="F64" s="229"/>
      <c r="G64" s="229"/>
      <c r="H64" s="229"/>
      <c r="I64" s="229"/>
      <c r="J64" s="229"/>
      <c r="K64" s="229"/>
    </row>
    <row r="65" spans="1:11" ht="15" thickBot="1">
      <c r="A65" s="223"/>
      <c r="B65" s="223" t="s">
        <v>320</v>
      </c>
      <c r="C65" s="224" t="s">
        <v>116</v>
      </c>
      <c r="D65" s="225">
        <f>SUM(D62:D63)</f>
        <v>33395</v>
      </c>
      <c r="E65" s="226">
        <f aca="true" t="shared" si="10" ref="E65:K65">SUM(E62:E63)</f>
        <v>32627</v>
      </c>
      <c r="F65" s="226">
        <f t="shared" si="10"/>
        <v>33204</v>
      </c>
      <c r="G65" s="226">
        <f t="shared" si="10"/>
        <v>33284</v>
      </c>
      <c r="H65" s="226">
        <f t="shared" si="10"/>
        <v>34111</v>
      </c>
      <c r="I65" s="226">
        <f t="shared" si="10"/>
        <v>30633</v>
      </c>
      <c r="J65" s="226">
        <f t="shared" si="10"/>
        <v>30460</v>
      </c>
      <c r="K65" s="226">
        <f t="shared" si="10"/>
        <v>30370</v>
      </c>
    </row>
    <row r="66" ht="15" thickTop="1"/>
    <row r="68" spans="4:11" ht="14.25">
      <c r="D68" s="211"/>
      <c r="E68" s="211"/>
      <c r="F68" s="211"/>
      <c r="G68" s="211"/>
      <c r="H68" s="211"/>
      <c r="I68" s="211"/>
      <c r="J68" s="211"/>
      <c r="K68" s="211"/>
    </row>
  </sheetData>
  <sheetProtection/>
  <mergeCells count="6">
    <mergeCell ref="B2:E2"/>
    <mergeCell ref="B3:E3"/>
    <mergeCell ref="B4:E4"/>
    <mergeCell ref="A7:A8"/>
    <mergeCell ref="B7:B8"/>
    <mergeCell ref="C7:C8"/>
  </mergeCells>
  <printOptions/>
  <pageMargins left="0.25" right="0.1968503937007874" top="0.45" bottom="0.5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</cp:lastModifiedBy>
  <cp:lastPrinted>2015-04-03T07:44:48Z</cp:lastPrinted>
  <dcterms:created xsi:type="dcterms:W3CDTF">2001-10-18T06:52:36Z</dcterms:created>
  <dcterms:modified xsi:type="dcterms:W3CDTF">2015-04-06T12:18:06Z</dcterms:modified>
  <cp:category/>
  <cp:version/>
  <cp:contentType/>
  <cp:contentStatus/>
</cp:coreProperties>
</file>